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ssoal\comcriar\Reunião 08-05-18\"/>
    </mc:Choice>
  </mc:AlternateContent>
  <bookViews>
    <workbookView xWindow="0" yWindow="0" windowWidth="14130" windowHeight="7080"/>
  </bookViews>
  <sheets>
    <sheet name="Dados Entidades" sheetId="3" r:id="rId1"/>
    <sheet name="Situação atual" sheetId="4" r:id="rId2"/>
    <sheet name="Situação das Instituições" sheetId="7" r:id="rId3"/>
    <sheet name="Distribuição Linear" sheetId="1" r:id="rId4"/>
    <sheet name="Distribuição 3 Fases" sheetId="5" r:id="rId5"/>
    <sheet name="Resumo" sheetId="6" r:id="rId6"/>
  </sheets>
  <definedNames>
    <definedName name="_xlnm._FilterDatabase" localSheetId="0" hidden="1">'Dados Entidades'!$A$1:$N$22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3" l="1"/>
  <c r="O21" i="3"/>
  <c r="F3" i="7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" i="7"/>
  <c r="D22" i="7"/>
  <c r="B21" i="7"/>
  <c r="B22" i="7" s="1"/>
  <c r="C18" i="7"/>
  <c r="C22" i="7" s="1"/>
  <c r="E22" i="4"/>
  <c r="F22" i="4"/>
  <c r="G22" i="4"/>
  <c r="C25" i="4"/>
  <c r="D25" i="4"/>
  <c r="E25" i="4" s="1"/>
  <c r="C29" i="4"/>
  <c r="E29" i="4" s="1"/>
  <c r="G29" i="4" s="1"/>
  <c r="D29" i="4"/>
  <c r="I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M2" i="1" l="1"/>
  <c r="N2" i="1"/>
  <c r="L2" i="1"/>
  <c r="F22" i="1"/>
  <c r="N26" i="5" l="1"/>
  <c r="P26" i="5" s="1"/>
  <c r="M22" i="5"/>
  <c r="K6" i="5"/>
  <c r="K10" i="5"/>
  <c r="K14" i="5"/>
  <c r="K18" i="5"/>
  <c r="K2" i="5"/>
  <c r="H27" i="5"/>
  <c r="J3" i="5"/>
  <c r="K3" i="5" s="1"/>
  <c r="J4" i="5"/>
  <c r="K4" i="5" s="1"/>
  <c r="J5" i="5"/>
  <c r="K5" i="5" s="1"/>
  <c r="J6" i="5"/>
  <c r="J7" i="5"/>
  <c r="K7" i="5" s="1"/>
  <c r="J8" i="5"/>
  <c r="K8" i="5" s="1"/>
  <c r="J9" i="5"/>
  <c r="K9" i="5" s="1"/>
  <c r="J10" i="5"/>
  <c r="J11" i="5"/>
  <c r="K11" i="5" s="1"/>
  <c r="J12" i="5"/>
  <c r="K12" i="5" s="1"/>
  <c r="J13" i="5"/>
  <c r="K13" i="5" s="1"/>
  <c r="J14" i="5"/>
  <c r="J15" i="5"/>
  <c r="K15" i="5" s="1"/>
  <c r="J16" i="5"/>
  <c r="K16" i="5" s="1"/>
  <c r="J17" i="5"/>
  <c r="K17" i="5" s="1"/>
  <c r="J18" i="5"/>
  <c r="J19" i="5"/>
  <c r="K19" i="5" s="1"/>
  <c r="J20" i="5"/>
  <c r="K20" i="5" s="1"/>
  <c r="J2" i="5"/>
  <c r="I4" i="5"/>
  <c r="L4" i="5" s="1"/>
  <c r="N4" i="5" s="1"/>
  <c r="I8" i="5"/>
  <c r="L8" i="5" s="1"/>
  <c r="N8" i="5" s="1"/>
  <c r="I12" i="5"/>
  <c r="L12" i="5" s="1"/>
  <c r="N12" i="5" s="1"/>
  <c r="I16" i="5"/>
  <c r="L16" i="5" s="1"/>
  <c r="N16" i="5" s="1"/>
  <c r="I20" i="5"/>
  <c r="L20" i="5" s="1"/>
  <c r="N20" i="5" s="1"/>
  <c r="E26" i="5"/>
  <c r="E27" i="5" s="1"/>
  <c r="H3" i="5"/>
  <c r="I3" i="5" s="1"/>
  <c r="L3" i="5" s="1"/>
  <c r="N3" i="5" s="1"/>
  <c r="H4" i="5"/>
  <c r="H5" i="5"/>
  <c r="I5" i="5" s="1"/>
  <c r="L5" i="5" s="1"/>
  <c r="N5" i="5" s="1"/>
  <c r="H6" i="5"/>
  <c r="I6" i="5" s="1"/>
  <c r="L6" i="5" s="1"/>
  <c r="N6" i="5" s="1"/>
  <c r="H7" i="5"/>
  <c r="I7" i="5" s="1"/>
  <c r="L7" i="5" s="1"/>
  <c r="N7" i="5" s="1"/>
  <c r="H8" i="5"/>
  <c r="H9" i="5"/>
  <c r="I9" i="5" s="1"/>
  <c r="L9" i="5" s="1"/>
  <c r="N9" i="5" s="1"/>
  <c r="H10" i="5"/>
  <c r="I10" i="5" s="1"/>
  <c r="L10" i="5" s="1"/>
  <c r="N10" i="5" s="1"/>
  <c r="H11" i="5"/>
  <c r="I11" i="5" s="1"/>
  <c r="L11" i="5" s="1"/>
  <c r="N11" i="5" s="1"/>
  <c r="H12" i="5"/>
  <c r="H13" i="5"/>
  <c r="I13" i="5" s="1"/>
  <c r="L13" i="5" s="1"/>
  <c r="N13" i="5" s="1"/>
  <c r="H14" i="5"/>
  <c r="I14" i="5" s="1"/>
  <c r="L14" i="5" s="1"/>
  <c r="N14" i="5" s="1"/>
  <c r="H15" i="5"/>
  <c r="I15" i="5" s="1"/>
  <c r="L15" i="5" s="1"/>
  <c r="N15" i="5" s="1"/>
  <c r="H16" i="5"/>
  <c r="H17" i="5"/>
  <c r="I17" i="5" s="1"/>
  <c r="L17" i="5" s="1"/>
  <c r="N17" i="5" s="1"/>
  <c r="H18" i="5"/>
  <c r="I18" i="5" s="1"/>
  <c r="L18" i="5" s="1"/>
  <c r="N18" i="5" s="1"/>
  <c r="H19" i="5"/>
  <c r="I19" i="5" s="1"/>
  <c r="L19" i="5" s="1"/>
  <c r="N19" i="5" s="1"/>
  <c r="H20" i="5"/>
  <c r="H21" i="5"/>
  <c r="I21" i="5" s="1"/>
  <c r="H2" i="5"/>
  <c r="I2" i="5" s="1"/>
  <c r="L2" i="5" s="1"/>
  <c r="I7" i="1"/>
  <c r="G22" i="5"/>
  <c r="F22" i="5"/>
  <c r="E22" i="5"/>
  <c r="D26" i="5" s="1"/>
  <c r="D22" i="5"/>
  <c r="C22" i="5"/>
  <c r="B22" i="5"/>
  <c r="B21" i="5"/>
  <c r="J21" i="5" s="1"/>
  <c r="K21" i="5" s="1"/>
  <c r="C18" i="5"/>
  <c r="J22" i="5" l="1"/>
  <c r="J24" i="5" s="1"/>
  <c r="L21" i="5"/>
  <c r="N21" i="5" s="1"/>
  <c r="L22" i="5"/>
  <c r="N2" i="5"/>
  <c r="N22" i="5" s="1"/>
  <c r="K22" i="5"/>
  <c r="I26" i="5"/>
  <c r="I22" i="5"/>
  <c r="M17" i="1"/>
  <c r="O17" i="1" s="1"/>
  <c r="L17" i="1"/>
  <c r="L3" i="1"/>
  <c r="N3" i="1"/>
  <c r="N17" i="1"/>
  <c r="I17" i="1"/>
  <c r="F25" i="1" l="1"/>
  <c r="O2" i="1" l="1"/>
  <c r="K18" i="1"/>
  <c r="K6" i="1"/>
  <c r="M3" i="1"/>
  <c r="O3" i="1" s="1"/>
  <c r="L4" i="1"/>
  <c r="L5" i="1"/>
  <c r="L6" i="1"/>
  <c r="N6" i="1" s="1"/>
  <c r="L7" i="1"/>
  <c r="L8" i="1"/>
  <c r="L9" i="1"/>
  <c r="N9" i="1" s="1"/>
  <c r="L10" i="1"/>
  <c r="N10" i="1" s="1"/>
  <c r="L11" i="1"/>
  <c r="L12" i="1"/>
  <c r="L13" i="1"/>
  <c r="N13" i="1" s="1"/>
  <c r="L14" i="1"/>
  <c r="N14" i="1" s="1"/>
  <c r="L15" i="1"/>
  <c r="L16" i="1"/>
  <c r="L18" i="1"/>
  <c r="N18" i="1" s="1"/>
  <c r="L19" i="1"/>
  <c r="L20" i="1"/>
  <c r="L21" i="1"/>
  <c r="N21" i="1" s="1"/>
  <c r="J7" i="1"/>
  <c r="M12" i="1" l="1"/>
  <c r="O12" i="1" s="1"/>
  <c r="N12" i="1"/>
  <c r="M4" i="1"/>
  <c r="O4" i="1" s="1"/>
  <c r="N4" i="1"/>
  <c r="M13" i="1"/>
  <c r="O13" i="1" s="1"/>
  <c r="M20" i="1"/>
  <c r="O20" i="1" s="1"/>
  <c r="N20" i="1"/>
  <c r="M15" i="1"/>
  <c r="O15" i="1" s="1"/>
  <c r="N15" i="1"/>
  <c r="M11" i="1"/>
  <c r="O11" i="1" s="1"/>
  <c r="N11" i="1"/>
  <c r="M7" i="1"/>
  <c r="O7" i="1" s="1"/>
  <c r="N7" i="1"/>
  <c r="M21" i="1"/>
  <c r="O21" i="1" s="1"/>
  <c r="M10" i="1"/>
  <c r="O10" i="1" s="1"/>
  <c r="M16" i="1"/>
  <c r="O16" i="1" s="1"/>
  <c r="N16" i="1"/>
  <c r="M8" i="1"/>
  <c r="O8" i="1" s="1"/>
  <c r="N8" i="1"/>
  <c r="M19" i="1"/>
  <c r="O19" i="1" s="1"/>
  <c r="N19" i="1"/>
  <c r="M18" i="1"/>
  <c r="O18" i="1" s="1"/>
  <c r="M9" i="1"/>
  <c r="O9" i="1" s="1"/>
  <c r="M5" i="1"/>
  <c r="O5" i="1" s="1"/>
  <c r="N5" i="1"/>
  <c r="M14" i="1"/>
  <c r="O14" i="1" s="1"/>
  <c r="M6" i="1"/>
  <c r="O6" i="1" s="1"/>
  <c r="L22" i="1"/>
  <c r="E22" i="3"/>
  <c r="C16" i="3"/>
  <c r="C22" i="3" s="1"/>
  <c r="D21" i="3"/>
  <c r="D22" i="3" s="1"/>
  <c r="D22" i="1"/>
  <c r="B21" i="1"/>
  <c r="B22" i="1" s="1"/>
  <c r="C18" i="1"/>
  <c r="C22" i="1" s="1"/>
  <c r="I13" i="1" l="1"/>
  <c r="I16" i="3" l="1"/>
  <c r="I15" i="3"/>
  <c r="I14" i="3"/>
  <c r="I13" i="3"/>
  <c r="I12" i="3"/>
  <c r="I11" i="3"/>
  <c r="I10" i="3"/>
  <c r="I9" i="3"/>
  <c r="I8" i="3"/>
  <c r="I6" i="3"/>
  <c r="I5" i="3"/>
  <c r="C18" i="4"/>
  <c r="C22" i="4" s="1"/>
  <c r="K24" i="1"/>
  <c r="K3" i="1"/>
  <c r="K4" i="1"/>
  <c r="K5" i="1"/>
  <c r="K7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" i="1"/>
  <c r="J13" i="1"/>
  <c r="I20" i="1"/>
  <c r="I21" i="1"/>
  <c r="D22" i="4"/>
  <c r="B21" i="4"/>
  <c r="B22" i="4" s="1"/>
  <c r="J17" i="1"/>
  <c r="J8" i="1"/>
  <c r="J4" i="1"/>
  <c r="J3" i="1"/>
  <c r="J2" i="1"/>
  <c r="I8" i="1"/>
  <c r="I4" i="1"/>
  <c r="I3" i="1"/>
  <c r="I2" i="1"/>
  <c r="N6" i="3"/>
  <c r="N2" i="3"/>
  <c r="N3" i="3"/>
  <c r="N7" i="3"/>
  <c r="N8" i="3"/>
  <c r="N9" i="3"/>
  <c r="N10" i="3"/>
  <c r="N11" i="3"/>
  <c r="N12" i="3"/>
  <c r="N4" i="3"/>
  <c r="N17" i="3"/>
  <c r="N19" i="3"/>
  <c r="N18" i="3"/>
  <c r="N13" i="3"/>
  <c r="N20" i="3"/>
  <c r="N21" i="3"/>
  <c r="N14" i="3"/>
  <c r="N15" i="3"/>
  <c r="N16" i="3"/>
  <c r="N5" i="3"/>
  <c r="L5" i="3"/>
  <c r="M5" i="3" s="1"/>
  <c r="L17" i="3"/>
  <c r="M17" i="3" s="1"/>
  <c r="L6" i="3"/>
  <c r="M6" i="3" s="1"/>
  <c r="L2" i="3"/>
  <c r="M2" i="3" s="1"/>
  <c r="L3" i="3"/>
  <c r="M3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4" i="3"/>
  <c r="M4" i="3" s="1"/>
  <c r="L19" i="3"/>
  <c r="M19" i="3" s="1"/>
  <c r="L18" i="3"/>
  <c r="M18" i="3" s="1"/>
  <c r="L13" i="3"/>
  <c r="M13" i="3" s="1"/>
  <c r="L20" i="3"/>
  <c r="M20" i="3" s="1"/>
  <c r="L21" i="3"/>
  <c r="M21" i="3" s="1"/>
  <c r="L14" i="3"/>
  <c r="M14" i="3" s="1"/>
  <c r="L15" i="3"/>
  <c r="M15" i="3" s="1"/>
  <c r="L16" i="3"/>
  <c r="M16" i="3" s="1"/>
  <c r="O4" i="3" l="1"/>
  <c r="N22" i="3"/>
  <c r="M22" i="3"/>
  <c r="G25" i="1" l="1"/>
  <c r="E25" i="1"/>
  <c r="G22" i="1"/>
  <c r="I5" i="1"/>
  <c r="I6" i="1"/>
  <c r="I9" i="1"/>
  <c r="I10" i="1"/>
  <c r="I11" i="1"/>
  <c r="I12" i="1"/>
  <c r="I14" i="1"/>
  <c r="I15" i="1"/>
  <c r="I16" i="1"/>
  <c r="I18" i="1"/>
  <c r="I19" i="1"/>
  <c r="J5" i="1" l="1"/>
  <c r="J6" i="1"/>
  <c r="J9" i="1"/>
  <c r="J10" i="1"/>
  <c r="J11" i="1"/>
  <c r="J12" i="1"/>
  <c r="J14" i="1"/>
  <c r="J15" i="1"/>
  <c r="J16" i="1"/>
  <c r="J18" i="1"/>
  <c r="J19" i="1"/>
  <c r="J20" i="1"/>
  <c r="J21" i="1"/>
  <c r="E22" i="1"/>
  <c r="H22" i="1"/>
  <c r="I22" i="1" l="1"/>
  <c r="J22" i="1"/>
  <c r="I25" i="1"/>
</calcChain>
</file>

<file path=xl/sharedStrings.xml><?xml version="1.0" encoding="utf-8"?>
<sst xmlns="http://schemas.openxmlformats.org/spreadsheetml/2006/main" count="251" uniqueCount="74">
  <si>
    <t>Instituição</t>
  </si>
  <si>
    <t>Resultado</t>
  </si>
  <si>
    <t>SABSA</t>
  </si>
  <si>
    <t>Captação 1a. Fase</t>
  </si>
  <si>
    <t>Captação 2a. Fase</t>
  </si>
  <si>
    <t>Aporte Fundo</t>
  </si>
  <si>
    <t>CASA DA CRIANÇA CRISTO REI</t>
  </si>
  <si>
    <t>TOQUE</t>
  </si>
  <si>
    <t>Contra Partida</t>
  </si>
  <si>
    <t>CASA MATER</t>
  </si>
  <si>
    <t>LAR RENASCER</t>
  </si>
  <si>
    <t>LAR CAPAZ</t>
  </si>
  <si>
    <t>CCCA - Nossa Sra. Merces</t>
  </si>
  <si>
    <t>Mestre Jesus</t>
  </si>
  <si>
    <t>Residual</t>
  </si>
  <si>
    <t>Redenção</t>
  </si>
  <si>
    <t>Ary Bombarda</t>
  </si>
  <si>
    <t>Lar Juvenil</t>
  </si>
  <si>
    <t>APAE</t>
  </si>
  <si>
    <t>AAEE</t>
  </si>
  <si>
    <t>PARADV</t>
  </si>
  <si>
    <t>CONVIVADOWN</t>
  </si>
  <si>
    <t>CASA BETANIA</t>
  </si>
  <si>
    <t>BARSANULFO</t>
  </si>
  <si>
    <t>AAVIDA</t>
  </si>
  <si>
    <t>Oficina das Meninas</t>
  </si>
  <si>
    <t>Creche do Carmo</t>
  </si>
  <si>
    <t>Total</t>
  </si>
  <si>
    <t>Saldo da Conta</t>
  </si>
  <si>
    <t>Inst. 1a. Fase - Falta para Instituições</t>
  </si>
  <si>
    <t>Residual da 1a. Fase</t>
  </si>
  <si>
    <t>Saldo Conta</t>
  </si>
  <si>
    <t>Destinar do Fundo</t>
  </si>
  <si>
    <t>Saldo Liquido - CPFL e Reserva</t>
  </si>
  <si>
    <t>Projeto Total</t>
  </si>
  <si>
    <t>Segmento</t>
  </si>
  <si>
    <t>Abrigo</t>
  </si>
  <si>
    <t>Contraturno</t>
  </si>
  <si>
    <t>Atendidos Total</t>
  </si>
  <si>
    <t>Capacidade Projeto</t>
  </si>
  <si>
    <t>Valor por hora Ano</t>
  </si>
  <si>
    <t>Valor por atendido Mês</t>
  </si>
  <si>
    <t>horas por ano (53 Semanas ano X horas semanais)</t>
  </si>
  <si>
    <t>LEI PARA PREF. 2o. Destinação</t>
  </si>
  <si>
    <t>Valor Previsto x Realizado</t>
  </si>
  <si>
    <t>Captação Prevista de IR</t>
  </si>
  <si>
    <t>Total Geral</t>
  </si>
  <si>
    <t>Dif. total com 3a. Fase</t>
  </si>
  <si>
    <t xml:space="preserve">% Sobre o Total </t>
  </si>
  <si>
    <t>% Sobre o Previsto Captação</t>
  </si>
  <si>
    <t>paradv</t>
  </si>
  <si>
    <t>soma</t>
  </si>
  <si>
    <t>Distribição Linear</t>
  </si>
  <si>
    <t>Valor Solicitado no Projeto</t>
  </si>
  <si>
    <t>Falta atingir o projeto total</t>
  </si>
  <si>
    <t>% que Falta 2,17%</t>
  </si>
  <si>
    <t>417,13 cada ponto</t>
  </si>
  <si>
    <t>% sobre o valor do projeto</t>
  </si>
  <si>
    <t>TOTAL</t>
  </si>
  <si>
    <t>Lei para encaminhar</t>
  </si>
  <si>
    <t>1o. Modelo</t>
  </si>
  <si>
    <t>2o. Modelo</t>
  </si>
  <si>
    <t>modelo 2</t>
  </si>
  <si>
    <t>modelo 1</t>
  </si>
  <si>
    <t>Resultado Maior</t>
  </si>
  <si>
    <t>Numero Atendidos Médio</t>
  </si>
  <si>
    <t>Média</t>
  </si>
  <si>
    <t>Acima do Projeto</t>
  </si>
  <si>
    <t>Acima do Previsto Solicitado IR</t>
  </si>
  <si>
    <t>Conseguiu Sobre o Total do Projeto</t>
  </si>
  <si>
    <t>Portal COMCRIAR</t>
  </si>
  <si>
    <t>Multiplicador por periodo</t>
  </si>
  <si>
    <t>horas semanais do projeto</t>
  </si>
  <si>
    <t>Não entendi no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</si>
</sst>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#,##0.0000_ ;\-#,##0.0000\ "/>
    <numFmt numFmtId="165" formatCode="0.0000"/>
    <numFmt numFmtId="166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333333"/>
      <name val="Arial"/>
      <family val="2"/>
    </font>
    <font>
      <b/>
      <sz val="11"/>
      <color rgb="FF33333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0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44" fontId="5" fillId="0" borderId="4" xfId="1" applyFont="1" applyBorder="1"/>
    <xf numFmtId="44" fontId="5" fillId="0" borderId="5" xfId="1" applyFont="1" applyBorder="1"/>
    <xf numFmtId="44" fontId="5" fillId="0" borderId="6" xfId="1" applyFont="1" applyBorder="1"/>
    <xf numFmtId="0" fontId="2" fillId="0" borderId="8" xfId="0" applyFont="1" applyBorder="1"/>
    <xf numFmtId="8" fontId="7" fillId="0" borderId="0" xfId="0" applyNumberFormat="1" applyFont="1"/>
    <xf numFmtId="44" fontId="4" fillId="0" borderId="0" xfId="0" applyNumberFormat="1" applyFont="1" applyBorder="1"/>
    <xf numFmtId="8" fontId="0" fillId="0" borderId="0" xfId="0" applyNumberFormat="1"/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/>
    <xf numFmtId="44" fontId="0" fillId="0" borderId="0" xfId="1" applyFont="1" applyAlignment="1">
      <alignment wrapText="1"/>
    </xf>
    <xf numFmtId="44" fontId="7" fillId="0" borderId="0" xfId="1" applyFont="1"/>
    <xf numFmtId="0" fontId="9" fillId="6" borderId="2" xfId="0" applyFont="1" applyFill="1" applyBorder="1" applyAlignment="1">
      <alignment wrapText="1"/>
    </xf>
    <xf numFmtId="44" fontId="10" fillId="6" borderId="5" xfId="1" applyFont="1" applyFill="1" applyBorder="1"/>
    <xf numFmtId="0" fontId="2" fillId="0" borderId="10" xfId="0" applyFont="1" applyBorder="1"/>
    <xf numFmtId="44" fontId="0" fillId="0" borderId="0" xfId="1" applyFont="1" applyBorder="1"/>
    <xf numFmtId="44" fontId="0" fillId="2" borderId="0" xfId="1" applyFont="1" applyFill="1" applyBorder="1"/>
    <xf numFmtId="44" fontId="2" fillId="5" borderId="11" xfId="1" applyFont="1" applyFill="1" applyBorder="1"/>
    <xf numFmtId="44" fontId="0" fillId="0" borderId="0" xfId="0" applyNumberFormat="1" applyBorder="1"/>
    <xf numFmtId="0" fontId="0" fillId="0" borderId="0" xfId="0" applyBorder="1"/>
    <xf numFmtId="44" fontId="2" fillId="5" borderId="11" xfId="0" applyNumberFormat="1" applyFont="1" applyFill="1" applyBorder="1"/>
    <xf numFmtId="44" fontId="0" fillId="0" borderId="0" xfId="1" applyFont="1" applyFill="1" applyBorder="1"/>
    <xf numFmtId="44" fontId="3" fillId="3" borderId="0" xfId="1" applyFont="1" applyFill="1" applyBorder="1"/>
    <xf numFmtId="8" fontId="8" fillId="5" borderId="11" xfId="0" applyNumberFormat="1" applyFont="1" applyFill="1" applyBorder="1"/>
    <xf numFmtId="0" fontId="2" fillId="5" borderId="11" xfId="0" applyFont="1" applyFill="1" applyBorder="1"/>
    <xf numFmtId="44" fontId="1" fillId="0" borderId="0" xfId="1" applyFont="1" applyFill="1" applyBorder="1"/>
    <xf numFmtId="44" fontId="1" fillId="3" borderId="0" xfId="1" applyFont="1" applyFill="1" applyBorder="1"/>
    <xf numFmtId="44" fontId="4" fillId="0" borderId="8" xfId="0" applyNumberFormat="1" applyFont="1" applyBorder="1"/>
    <xf numFmtId="44" fontId="0" fillId="3" borderId="0" xfId="1" applyFont="1" applyFill="1" applyBorder="1"/>
    <xf numFmtId="0" fontId="2" fillId="0" borderId="8" xfId="0" applyFont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4" fillId="0" borderId="14" xfId="0" applyFont="1" applyBorder="1"/>
    <xf numFmtId="44" fontId="4" fillId="0" borderId="15" xfId="0" applyNumberFormat="1" applyFont="1" applyBorder="1"/>
    <xf numFmtId="44" fontId="6" fillId="6" borderId="15" xfId="0" applyNumberFormat="1" applyFont="1" applyFill="1" applyBorder="1"/>
    <xf numFmtId="0" fontId="2" fillId="0" borderId="15" xfId="0" applyFont="1" applyBorder="1"/>
    <xf numFmtId="44" fontId="2" fillId="0" borderId="16" xfId="0" applyNumberFormat="1" applyFont="1" applyBorder="1"/>
    <xf numFmtId="0" fontId="2" fillId="0" borderId="17" xfId="0" applyFont="1" applyBorder="1"/>
    <xf numFmtId="44" fontId="0" fillId="0" borderId="18" xfId="1" applyFont="1" applyBorder="1"/>
    <xf numFmtId="44" fontId="0" fillId="2" borderId="18" xfId="1" applyFont="1" applyFill="1" applyBorder="1"/>
    <xf numFmtId="44" fontId="2" fillId="5" borderId="19" xfId="1" applyFont="1" applyFill="1" applyBorder="1"/>
    <xf numFmtId="44" fontId="2" fillId="4" borderId="18" xfId="1" applyFont="1" applyFill="1" applyBorder="1"/>
    <xf numFmtId="44" fontId="9" fillId="6" borderId="18" xfId="0" applyNumberFormat="1" applyFont="1" applyFill="1" applyBorder="1"/>
    <xf numFmtId="44" fontId="6" fillId="0" borderId="18" xfId="0" applyNumberFormat="1" applyFont="1" applyBorder="1"/>
    <xf numFmtId="44" fontId="0" fillId="0" borderId="18" xfId="0" applyNumberFormat="1" applyBorder="1"/>
    <xf numFmtId="44" fontId="9" fillId="0" borderId="18" xfId="0" applyNumberFormat="1" applyFont="1" applyBorder="1"/>
    <xf numFmtId="0" fontId="0" fillId="0" borderId="18" xfId="0" applyBorder="1"/>
    <xf numFmtId="0" fontId="12" fillId="2" borderId="19" xfId="0" applyFont="1" applyFill="1" applyBorder="1"/>
    <xf numFmtId="44" fontId="9" fillId="6" borderId="0" xfId="0" applyNumberFormat="1" applyFont="1" applyFill="1" applyBorder="1"/>
    <xf numFmtId="0" fontId="0" fillId="0" borderId="11" xfId="0" applyBorder="1"/>
    <xf numFmtId="44" fontId="6" fillId="0" borderId="0" xfId="0" applyNumberFormat="1" applyFont="1" applyBorder="1"/>
    <xf numFmtId="44" fontId="9" fillId="0" borderId="0" xfId="0" applyNumberFormat="1" applyFont="1" applyBorder="1"/>
    <xf numFmtId="0" fontId="12" fillId="2" borderId="11" xfId="0" applyFont="1" applyFill="1" applyBorder="1"/>
    <xf numFmtId="44" fontId="11" fillId="0" borderId="0" xfId="0" applyNumberFormat="1" applyFont="1" applyBorder="1"/>
    <xf numFmtId="0" fontId="2" fillId="0" borderId="20" xfId="0" applyFont="1" applyBorder="1"/>
    <xf numFmtId="44" fontId="0" fillId="0" borderId="21" xfId="1" applyFont="1" applyBorder="1"/>
    <xf numFmtId="44" fontId="1" fillId="3" borderId="21" xfId="1" applyFont="1" applyFill="1" applyBorder="1"/>
    <xf numFmtId="44" fontId="2" fillId="5" borderId="22" xfId="1" applyFont="1" applyFill="1" applyBorder="1"/>
    <xf numFmtId="44" fontId="9" fillId="6" borderId="21" xfId="0" applyNumberFormat="1" applyFont="1" applyFill="1" applyBorder="1"/>
    <xf numFmtId="44" fontId="4" fillId="0" borderId="21" xfId="0" applyNumberFormat="1" applyFont="1" applyBorder="1"/>
    <xf numFmtId="44" fontId="0" fillId="0" borderId="21" xfId="0" applyNumberFormat="1" applyBorder="1"/>
    <xf numFmtId="0" fontId="0" fillId="0" borderId="21" xfId="0" applyBorder="1"/>
    <xf numFmtId="0" fontId="0" fillId="0" borderId="22" xfId="0" applyBorder="1"/>
    <xf numFmtId="44" fontId="4" fillId="0" borderId="16" xfId="0" applyNumberFormat="1" applyFont="1" applyBorder="1"/>
    <xf numFmtId="44" fontId="0" fillId="0" borderId="13" xfId="1" applyFont="1" applyBorder="1"/>
    <xf numFmtId="44" fontId="0" fillId="2" borderId="13" xfId="1" applyFont="1" applyFill="1" applyBorder="1"/>
    <xf numFmtId="44" fontId="0" fillId="0" borderId="13" xfId="0" applyNumberFormat="1" applyBorder="1"/>
    <xf numFmtId="0" fontId="0" fillId="0" borderId="13" xfId="0" applyBorder="1"/>
    <xf numFmtId="44" fontId="0" fillId="0" borderId="13" xfId="1" applyFont="1" applyFill="1" applyBorder="1"/>
    <xf numFmtId="44" fontId="0" fillId="3" borderId="13" xfId="1" applyFont="1" applyFill="1" applyBorder="1"/>
    <xf numFmtId="44" fontId="3" fillId="3" borderId="13" xfId="1" applyFont="1" applyFill="1" applyBorder="1"/>
    <xf numFmtId="44" fontId="1" fillId="0" borderId="13" xfId="1" applyFont="1" applyFill="1" applyBorder="1"/>
    <xf numFmtId="44" fontId="1" fillId="3" borderId="13" xfId="1" applyFont="1" applyFill="1" applyBorder="1"/>
    <xf numFmtId="0" fontId="2" fillId="0" borderId="1" xfId="0" applyFont="1" applyBorder="1"/>
    <xf numFmtId="44" fontId="0" fillId="0" borderId="2" xfId="1" applyFont="1" applyBorder="1"/>
    <xf numFmtId="44" fontId="0" fillId="2" borderId="2" xfId="1" applyFont="1" applyFill="1" applyBorder="1"/>
    <xf numFmtId="44" fontId="2" fillId="5" borderId="3" xfId="1" applyFont="1" applyFill="1" applyBorder="1"/>
    <xf numFmtId="0" fontId="2" fillId="0" borderId="26" xfId="0" applyFont="1" applyBorder="1"/>
    <xf numFmtId="44" fontId="2" fillId="5" borderId="27" xfId="0" applyNumberFormat="1" applyFont="1" applyFill="1" applyBorder="1"/>
    <xf numFmtId="44" fontId="2" fillId="5" borderId="27" xfId="1" applyFont="1" applyFill="1" applyBorder="1"/>
    <xf numFmtId="8" fontId="8" fillId="5" borderId="27" xfId="0" applyNumberFormat="1" applyFont="1" applyFill="1" applyBorder="1"/>
    <xf numFmtId="0" fontId="2" fillId="5" borderId="27" xfId="0" applyFont="1" applyFill="1" applyBorder="1"/>
    <xf numFmtId="0" fontId="2" fillId="0" borderId="4" xfId="0" applyFont="1" applyBorder="1"/>
    <xf numFmtId="44" fontId="0" fillId="0" borderId="5" xfId="1" applyFont="1" applyBorder="1"/>
    <xf numFmtId="44" fontId="1" fillId="3" borderId="5" xfId="1" applyFont="1" applyFill="1" applyBorder="1"/>
    <xf numFmtId="44" fontId="2" fillId="5" borderId="6" xfId="1" applyFont="1" applyFill="1" applyBorder="1"/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8" xfId="0" applyFont="1" applyFill="1" applyBorder="1" applyAlignment="1">
      <alignment horizontal="center" wrapText="1"/>
    </xf>
    <xf numFmtId="44" fontId="2" fillId="0" borderId="0" xfId="1" applyFont="1" applyFill="1" applyBorder="1"/>
    <xf numFmtId="164" fontId="0" fillId="0" borderId="0" xfId="0" applyNumberFormat="1"/>
    <xf numFmtId="2" fontId="2" fillId="0" borderId="28" xfId="0" applyNumberFormat="1" applyFont="1" applyFill="1" applyBorder="1" applyAlignment="1">
      <alignment horizontal="center" wrapText="1"/>
    </xf>
    <xf numFmtId="2" fontId="0" fillId="0" borderId="0" xfId="0" applyNumberFormat="1"/>
    <xf numFmtId="165" fontId="0" fillId="0" borderId="0" xfId="0" applyNumberFormat="1"/>
    <xf numFmtId="2" fontId="2" fillId="0" borderId="0" xfId="0" applyNumberFormat="1" applyFont="1"/>
    <xf numFmtId="44" fontId="2" fillId="0" borderId="0" xfId="0" applyNumberFormat="1" applyFont="1"/>
    <xf numFmtId="44" fontId="2" fillId="0" borderId="0" xfId="1" applyFont="1" applyAlignment="1">
      <alignment wrapText="1"/>
    </xf>
    <xf numFmtId="166" fontId="0" fillId="0" borderId="0" xfId="0" applyNumberFormat="1"/>
    <xf numFmtId="0" fontId="2" fillId="0" borderId="29" xfId="0" applyFont="1" applyFill="1" applyBorder="1" applyAlignment="1">
      <alignment horizontal="center" wrapText="1"/>
    </xf>
    <xf numFmtId="44" fontId="0" fillId="7" borderId="27" xfId="1" applyFont="1" applyFill="1" applyBorder="1"/>
    <xf numFmtId="0" fontId="4" fillId="0" borderId="1" xfId="0" applyFont="1" applyBorder="1" applyAlignment="1">
      <alignment wrapText="1"/>
    </xf>
    <xf numFmtId="0" fontId="4" fillId="2" borderId="2" xfId="0" applyFont="1" applyFill="1" applyBorder="1"/>
    <xf numFmtId="0" fontId="4" fillId="7" borderId="3" xfId="0" applyFont="1" applyFill="1" applyBorder="1"/>
    <xf numFmtId="0" fontId="6" fillId="0" borderId="4" xfId="0" applyFont="1" applyBorder="1"/>
    <xf numFmtId="44" fontId="9" fillId="2" borderId="5" xfId="1" applyFont="1" applyFill="1" applyBorder="1"/>
    <xf numFmtId="44" fontId="9" fillId="7" borderId="6" xfId="1" applyFont="1" applyFill="1" applyBorder="1"/>
    <xf numFmtId="0" fontId="0" fillId="3" borderId="0" xfId="0" applyFill="1"/>
    <xf numFmtId="0" fontId="0" fillId="7" borderId="0" xfId="0" applyFill="1"/>
    <xf numFmtId="0" fontId="0" fillId="2" borderId="0" xfId="0" applyFill="1"/>
    <xf numFmtId="1" fontId="1" fillId="0" borderId="13" xfId="1" applyNumberFormat="1" applyFont="1" applyFill="1" applyBorder="1"/>
    <xf numFmtId="1" fontId="0" fillId="0" borderId="13" xfId="1" applyNumberFormat="1" applyFont="1" applyFill="1" applyBorder="1"/>
    <xf numFmtId="44" fontId="0" fillId="0" borderId="27" xfId="0" applyNumberFormat="1" applyBorder="1" applyAlignment="1">
      <alignment wrapText="1"/>
    </xf>
    <xf numFmtId="0" fontId="2" fillId="0" borderId="30" xfId="0" applyFont="1" applyBorder="1"/>
    <xf numFmtId="44" fontId="0" fillId="0" borderId="31" xfId="1" applyFont="1" applyBorder="1"/>
    <xf numFmtId="1" fontId="1" fillId="0" borderId="31" xfId="1" applyNumberFormat="1" applyFont="1" applyFill="1" applyBorder="1"/>
    <xf numFmtId="0" fontId="0" fillId="0" borderId="31" xfId="0" applyBorder="1"/>
    <xf numFmtId="44" fontId="0" fillId="0" borderId="31" xfId="0" applyNumberFormat="1" applyBorder="1"/>
    <xf numFmtId="44" fontId="0" fillId="0" borderId="32" xfId="0" applyNumberFormat="1" applyBorder="1" applyAlignment="1">
      <alignment wrapText="1"/>
    </xf>
    <xf numFmtId="1" fontId="2" fillId="0" borderId="8" xfId="0" applyNumberFormat="1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33" xfId="0" applyFont="1" applyBorder="1"/>
    <xf numFmtId="44" fontId="0" fillId="0" borderId="34" xfId="1" applyFont="1" applyBorder="1"/>
    <xf numFmtId="1" fontId="0" fillId="0" borderId="34" xfId="1" applyNumberFormat="1" applyFont="1" applyFill="1" applyBorder="1"/>
    <xf numFmtId="0" fontId="0" fillId="0" borderId="34" xfId="0" applyBorder="1"/>
    <xf numFmtId="44" fontId="0" fillId="0" borderId="34" xfId="0" applyNumberFormat="1" applyBorder="1"/>
    <xf numFmtId="44" fontId="0" fillId="0" borderId="35" xfId="0" applyNumberFormat="1" applyBorder="1" applyAlignment="1">
      <alignment wrapText="1"/>
    </xf>
    <xf numFmtId="0" fontId="4" fillId="0" borderId="7" xfId="0" applyFont="1" applyBorder="1"/>
    <xf numFmtId="1" fontId="4" fillId="0" borderId="8" xfId="1" applyNumberFormat="1" applyFont="1" applyBorder="1"/>
    <xf numFmtId="44" fontId="2" fillId="0" borderId="8" xfId="0" applyNumberFormat="1" applyFont="1" applyBorder="1"/>
    <xf numFmtId="44" fontId="2" fillId="0" borderId="9" xfId="0" applyNumberFormat="1" applyFont="1" applyBorder="1" applyAlignment="1">
      <alignment wrapText="1"/>
    </xf>
    <xf numFmtId="44" fontId="0" fillId="0" borderId="31" xfId="1" applyFont="1" applyFill="1" applyBorder="1"/>
    <xf numFmtId="44" fontId="1" fillId="0" borderId="34" xfId="1" applyFont="1" applyFill="1" applyBorder="1"/>
    <xf numFmtId="0" fontId="2" fillId="0" borderId="0" xfId="0" applyFont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44" fontId="0" fillId="0" borderId="10" xfId="0" applyNumberFormat="1" applyBorder="1"/>
    <xf numFmtId="44" fontId="9" fillId="9" borderId="11" xfId="0" applyNumberFormat="1" applyFont="1" applyFill="1" applyBorder="1"/>
    <xf numFmtId="44" fontId="0" fillId="0" borderId="11" xfId="0" applyNumberFormat="1" applyBorder="1"/>
    <xf numFmtId="44" fontId="6" fillId="8" borderId="10" xfId="0" applyNumberFormat="1" applyFont="1" applyFill="1" applyBorder="1"/>
    <xf numFmtId="44" fontId="0" fillId="2" borderId="11" xfId="0" applyNumberFormat="1" applyFill="1" applyBorder="1"/>
    <xf numFmtId="44" fontId="0" fillId="0" borderId="20" xfId="0" applyNumberFormat="1" applyBorder="1"/>
    <xf numFmtId="44" fontId="0" fillId="2" borderId="22" xfId="0" applyNumberFormat="1" applyFill="1" applyBorder="1"/>
    <xf numFmtId="0" fontId="2" fillId="0" borderId="3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4" fontId="14" fillId="0" borderId="11" xfId="0" applyNumberFormat="1" applyFont="1" applyFill="1" applyBorder="1"/>
    <xf numFmtId="44" fontId="14" fillId="2" borderId="11" xfId="0" applyNumberFormat="1" applyFont="1" applyFill="1" applyBorder="1"/>
    <xf numFmtId="44" fontId="13" fillId="10" borderId="11" xfId="0" applyNumberFormat="1" applyFont="1" applyFill="1" applyBorder="1"/>
    <xf numFmtId="44" fontId="14" fillId="2" borderId="22" xfId="0" applyNumberFormat="1" applyFont="1" applyFill="1" applyBorder="1"/>
    <xf numFmtId="44" fontId="6" fillId="5" borderId="10" xfId="0" applyNumberFormat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pane xSplit="1" topLeftCell="B1" activePane="topRight" state="frozen"/>
      <selection pane="topRight" activeCell="A14" sqref="A14"/>
    </sheetView>
  </sheetViews>
  <sheetFormatPr defaultRowHeight="15" x14ac:dyDescent="0.25"/>
  <cols>
    <col min="1" max="1" width="27.5703125" bestFit="1" customWidth="1"/>
    <col min="2" max="2" width="22.140625" bestFit="1" customWidth="1"/>
    <col min="3" max="5" width="17.7109375" bestFit="1" customWidth="1"/>
    <col min="6" max="6" width="11.42578125" style="16" customWidth="1"/>
    <col min="7" max="7" width="10.5703125" style="16" bestFit="1" customWidth="1"/>
    <col min="8" max="8" width="10.140625" bestFit="1" customWidth="1"/>
    <col min="9" max="9" width="10.140625" customWidth="1"/>
    <col min="10" max="10" width="13.140625" bestFit="1" customWidth="1"/>
    <col min="11" max="11" width="14.7109375" bestFit="1" customWidth="1"/>
    <col min="12" max="12" width="14.7109375" customWidth="1"/>
    <col min="13" max="13" width="12.140625" bestFit="1" customWidth="1"/>
    <col min="14" max="14" width="14.140625" style="15" customWidth="1"/>
    <col min="15" max="15" width="12.140625" bestFit="1" customWidth="1"/>
  </cols>
  <sheetData>
    <row r="1" spans="1:15" s="15" customFormat="1" ht="60.75" thickBot="1" x14ac:dyDescent="0.3">
      <c r="A1" s="95" t="s">
        <v>0</v>
      </c>
      <c r="B1" s="128" t="s">
        <v>35</v>
      </c>
      <c r="C1" s="96" t="s">
        <v>34</v>
      </c>
      <c r="D1" s="96" t="s">
        <v>8</v>
      </c>
      <c r="E1" s="96" t="s">
        <v>45</v>
      </c>
      <c r="F1" s="127" t="s">
        <v>39</v>
      </c>
      <c r="G1" s="127" t="s">
        <v>70</v>
      </c>
      <c r="H1" s="128" t="s">
        <v>38</v>
      </c>
      <c r="I1" s="128" t="s">
        <v>65</v>
      </c>
      <c r="J1" s="128" t="s">
        <v>71</v>
      </c>
      <c r="K1" s="128" t="s">
        <v>72</v>
      </c>
      <c r="L1" s="128" t="s">
        <v>42</v>
      </c>
      <c r="M1" s="128" t="s">
        <v>40</v>
      </c>
      <c r="N1" s="129" t="s">
        <v>41</v>
      </c>
      <c r="O1" s="142" t="s">
        <v>66</v>
      </c>
    </row>
    <row r="2" spans="1:15" x14ac:dyDescent="0.25">
      <c r="A2" s="121" t="s">
        <v>11</v>
      </c>
      <c r="B2" s="124" t="s">
        <v>36</v>
      </c>
      <c r="C2" s="122">
        <v>443700</v>
      </c>
      <c r="D2" s="140">
        <v>38200</v>
      </c>
      <c r="E2" s="140">
        <v>405500</v>
      </c>
      <c r="F2" s="123">
        <v>8</v>
      </c>
      <c r="G2" s="123"/>
      <c r="H2" s="124">
        <v>8</v>
      </c>
      <c r="I2" s="124">
        <v>8</v>
      </c>
      <c r="J2" s="124">
        <v>4</v>
      </c>
      <c r="K2" s="124">
        <v>168</v>
      </c>
      <c r="L2" s="124">
        <f>K2*53</f>
        <v>8904</v>
      </c>
      <c r="M2" s="125">
        <f>C2/L2</f>
        <v>49.831536388140165</v>
      </c>
      <c r="N2" s="126">
        <f>(C2/H2)/12</f>
        <v>4621.875</v>
      </c>
    </row>
    <row r="3" spans="1:15" x14ac:dyDescent="0.25">
      <c r="A3" s="86" t="s">
        <v>10</v>
      </c>
      <c r="B3" s="76" t="s">
        <v>36</v>
      </c>
      <c r="C3" s="73">
        <v>561196.68000000005</v>
      </c>
      <c r="D3" s="73">
        <v>199176.18</v>
      </c>
      <c r="E3" s="73">
        <v>362020.5</v>
      </c>
      <c r="F3" s="118">
        <v>40</v>
      </c>
      <c r="G3" s="118">
        <v>40</v>
      </c>
      <c r="H3" s="76">
        <v>25</v>
      </c>
      <c r="I3" s="76">
        <v>25</v>
      </c>
      <c r="J3" s="76">
        <v>4</v>
      </c>
      <c r="K3" s="76">
        <v>168</v>
      </c>
      <c r="L3" s="76">
        <f>K3*53</f>
        <v>8904</v>
      </c>
      <c r="M3" s="75">
        <f>C3/L3</f>
        <v>63.027479784366584</v>
      </c>
      <c r="N3" s="120">
        <f>(C3/H3)/12</f>
        <v>1870.6556</v>
      </c>
    </row>
    <row r="4" spans="1:15" x14ac:dyDescent="0.25">
      <c r="A4" s="86" t="s">
        <v>22</v>
      </c>
      <c r="B4" s="76" t="s">
        <v>36</v>
      </c>
      <c r="C4" s="73">
        <v>346383</v>
      </c>
      <c r="D4" s="80">
        <v>158484.78</v>
      </c>
      <c r="E4" s="80">
        <v>187898.22</v>
      </c>
      <c r="F4" s="118"/>
      <c r="G4" s="118"/>
      <c r="H4" s="76">
        <v>20</v>
      </c>
      <c r="I4" s="76">
        <v>20</v>
      </c>
      <c r="J4" s="76">
        <v>4</v>
      </c>
      <c r="K4" s="76">
        <v>168</v>
      </c>
      <c r="L4" s="76">
        <f>K4*53</f>
        <v>8904</v>
      </c>
      <c r="M4" s="75">
        <f>C4/L4</f>
        <v>38.901954177897572</v>
      </c>
      <c r="N4" s="120">
        <f>(C4/H4)/12</f>
        <v>1443.2625</v>
      </c>
      <c r="O4" s="1">
        <f>(N4+N3+N2)/3</f>
        <v>2645.2643666666668</v>
      </c>
    </row>
    <row r="5" spans="1:15" x14ac:dyDescent="0.25">
      <c r="A5" s="86" t="s">
        <v>17</v>
      </c>
      <c r="B5" s="76" t="s">
        <v>37</v>
      </c>
      <c r="C5" s="73">
        <v>314971.40000000002</v>
      </c>
      <c r="D5" s="73">
        <v>173892.68</v>
      </c>
      <c r="E5" s="73">
        <v>141078.72</v>
      </c>
      <c r="F5" s="118"/>
      <c r="G5" s="118">
        <v>160</v>
      </c>
      <c r="H5" s="76">
        <v>145</v>
      </c>
      <c r="I5" s="76">
        <f>H5/J5</f>
        <v>72.5</v>
      </c>
      <c r="J5" s="76">
        <v>2</v>
      </c>
      <c r="K5" s="76">
        <v>40</v>
      </c>
      <c r="L5" s="76">
        <f>K5*53</f>
        <v>2120</v>
      </c>
      <c r="M5" s="75">
        <f>C5/L5</f>
        <v>148.57141509433964</v>
      </c>
      <c r="N5" s="120">
        <f>(C5/H5)/12</f>
        <v>181.01804597701152</v>
      </c>
    </row>
    <row r="6" spans="1:15" x14ac:dyDescent="0.25">
      <c r="A6" s="86" t="s">
        <v>25</v>
      </c>
      <c r="B6" s="76" t="s">
        <v>37</v>
      </c>
      <c r="C6" s="75">
        <v>411413.79</v>
      </c>
      <c r="D6" s="75">
        <v>209870</v>
      </c>
      <c r="E6" s="73">
        <v>201543.79</v>
      </c>
      <c r="F6" s="118">
        <v>90</v>
      </c>
      <c r="G6" s="118">
        <v>90</v>
      </c>
      <c r="H6" s="76">
        <v>80</v>
      </c>
      <c r="I6" s="76">
        <f>H6/2</f>
        <v>40</v>
      </c>
      <c r="J6" s="76">
        <v>2</v>
      </c>
      <c r="K6" s="76">
        <v>40</v>
      </c>
      <c r="L6" s="76">
        <f>K6*53</f>
        <v>2120</v>
      </c>
      <c r="M6" s="75">
        <f>C6/L6</f>
        <v>194.06310849056604</v>
      </c>
      <c r="N6" s="120">
        <f>(C6/H6)/12</f>
        <v>428.55603124999999</v>
      </c>
    </row>
    <row r="7" spans="1:15" x14ac:dyDescent="0.25">
      <c r="A7" s="86" t="s">
        <v>19</v>
      </c>
      <c r="B7" s="76" t="s">
        <v>37</v>
      </c>
      <c r="C7" s="77">
        <v>719838</v>
      </c>
      <c r="D7" s="77">
        <v>579838</v>
      </c>
      <c r="E7" s="77">
        <v>140000</v>
      </c>
      <c r="F7" s="119">
        <v>48</v>
      </c>
      <c r="G7" s="119">
        <v>48</v>
      </c>
      <c r="H7" s="76">
        <v>39</v>
      </c>
      <c r="I7" s="76"/>
      <c r="J7" s="76">
        <v>2</v>
      </c>
      <c r="K7" s="76">
        <v>40</v>
      </c>
      <c r="L7" s="76">
        <f>K7*53</f>
        <v>2120</v>
      </c>
      <c r="M7" s="75">
        <f>C7/L7</f>
        <v>339.54622641509434</v>
      </c>
      <c r="N7" s="120">
        <f>(C7/H7)/12</f>
        <v>1538.1153846153848</v>
      </c>
    </row>
    <row r="8" spans="1:15" x14ac:dyDescent="0.25">
      <c r="A8" s="86" t="s">
        <v>7</v>
      </c>
      <c r="B8" s="76" t="s">
        <v>37</v>
      </c>
      <c r="C8" s="73">
        <v>244973.19</v>
      </c>
      <c r="D8" s="73">
        <v>163573.19</v>
      </c>
      <c r="E8" s="73">
        <v>81400</v>
      </c>
      <c r="F8" s="119">
        <v>70</v>
      </c>
      <c r="G8" s="119">
        <v>50</v>
      </c>
      <c r="H8" s="76">
        <v>30</v>
      </c>
      <c r="I8" s="76">
        <f>H8/2</f>
        <v>15</v>
      </c>
      <c r="J8" s="76">
        <v>2</v>
      </c>
      <c r="K8" s="76">
        <v>40</v>
      </c>
      <c r="L8" s="76">
        <f>K8*53</f>
        <v>2120</v>
      </c>
      <c r="M8" s="75">
        <f>C8/L8</f>
        <v>115.55339150943396</v>
      </c>
      <c r="N8" s="120">
        <f>(C8/H8)/12</f>
        <v>680.48108333333334</v>
      </c>
    </row>
    <row r="9" spans="1:15" x14ac:dyDescent="0.25">
      <c r="A9" s="86" t="s">
        <v>15</v>
      </c>
      <c r="B9" s="76" t="s">
        <v>37</v>
      </c>
      <c r="C9" s="73">
        <v>378840</v>
      </c>
      <c r="D9" s="73">
        <v>200519.15</v>
      </c>
      <c r="E9" s="73">
        <v>178320.85</v>
      </c>
      <c r="F9" s="119"/>
      <c r="G9" s="119"/>
      <c r="H9" s="76">
        <v>80</v>
      </c>
      <c r="I9" s="76">
        <f>H9/J9</f>
        <v>40</v>
      </c>
      <c r="J9" s="76">
        <v>2</v>
      </c>
      <c r="K9" s="76">
        <v>40</v>
      </c>
      <c r="L9" s="76">
        <f>K9*53</f>
        <v>2120</v>
      </c>
      <c r="M9" s="75">
        <f>C9/L9</f>
        <v>178.69811320754718</v>
      </c>
      <c r="N9" s="120">
        <f>(C9/H9)/12</f>
        <v>394.625</v>
      </c>
    </row>
    <row r="10" spans="1:15" x14ac:dyDescent="0.25">
      <c r="A10" s="86" t="s">
        <v>23</v>
      </c>
      <c r="B10" s="76" t="s">
        <v>37</v>
      </c>
      <c r="C10" s="73">
        <v>325618</v>
      </c>
      <c r="D10" s="73">
        <v>136680</v>
      </c>
      <c r="E10" s="73">
        <v>188938</v>
      </c>
      <c r="F10" s="119"/>
      <c r="G10" s="119"/>
      <c r="H10" s="76">
        <v>150</v>
      </c>
      <c r="I10" s="76">
        <f>H10/2</f>
        <v>75</v>
      </c>
      <c r="J10" s="76">
        <v>2</v>
      </c>
      <c r="K10" s="76">
        <v>40</v>
      </c>
      <c r="L10" s="76">
        <f>K10*53</f>
        <v>2120</v>
      </c>
      <c r="M10" s="75">
        <f>C10/L10</f>
        <v>153.59339622641508</v>
      </c>
      <c r="N10" s="120">
        <f>(C10/H10)/12</f>
        <v>180.89888888888891</v>
      </c>
    </row>
    <row r="11" spans="1:15" x14ac:dyDescent="0.25">
      <c r="A11" s="86" t="s">
        <v>16</v>
      </c>
      <c r="B11" s="76" t="s">
        <v>37</v>
      </c>
      <c r="C11" s="73">
        <v>187295.39</v>
      </c>
      <c r="D11" s="73">
        <v>63937.78</v>
      </c>
      <c r="E11" s="73">
        <v>123357.61</v>
      </c>
      <c r="F11" s="119"/>
      <c r="G11" s="119">
        <v>50</v>
      </c>
      <c r="H11" s="76">
        <v>46</v>
      </c>
      <c r="I11" s="76">
        <f>H11/2</f>
        <v>23</v>
      </c>
      <c r="J11" s="76">
        <v>2</v>
      </c>
      <c r="K11" s="76">
        <v>40</v>
      </c>
      <c r="L11" s="76">
        <f>K11*53</f>
        <v>2120</v>
      </c>
      <c r="M11" s="75">
        <f>C11/L11</f>
        <v>88.346882075471711</v>
      </c>
      <c r="N11" s="120">
        <f>(C11/H11)/12</f>
        <v>339.30324275362324</v>
      </c>
    </row>
    <row r="12" spans="1:15" x14ac:dyDescent="0.25">
      <c r="A12" s="86" t="s">
        <v>18</v>
      </c>
      <c r="B12" s="76" t="s">
        <v>37</v>
      </c>
      <c r="C12" s="73">
        <v>191129</v>
      </c>
      <c r="D12" s="73">
        <v>1918</v>
      </c>
      <c r="E12" s="73">
        <v>189211</v>
      </c>
      <c r="F12" s="119">
        <v>10</v>
      </c>
      <c r="G12" s="119">
        <v>330</v>
      </c>
      <c r="H12" s="76">
        <v>10</v>
      </c>
      <c r="I12" s="76">
        <f>H12/2</f>
        <v>5</v>
      </c>
      <c r="J12" s="76">
        <v>2</v>
      </c>
      <c r="K12" s="76">
        <v>40</v>
      </c>
      <c r="L12" s="76">
        <f>K12*53</f>
        <v>2120</v>
      </c>
      <c r="M12" s="75">
        <f>C12/L12</f>
        <v>90.155188679245285</v>
      </c>
      <c r="N12" s="120">
        <f>(C12/H12)/12</f>
        <v>1592.7416666666668</v>
      </c>
    </row>
    <row r="13" spans="1:15" x14ac:dyDescent="0.25">
      <c r="A13" s="86" t="s">
        <v>12</v>
      </c>
      <c r="B13" s="76" t="s">
        <v>37</v>
      </c>
      <c r="C13" s="73">
        <v>343749.19</v>
      </c>
      <c r="D13" s="73">
        <v>120961.03</v>
      </c>
      <c r="E13" s="73">
        <v>222788.16</v>
      </c>
      <c r="F13" s="119"/>
      <c r="G13" s="119"/>
      <c r="H13" s="76">
        <v>131</v>
      </c>
      <c r="I13" s="76">
        <f>H13/J13</f>
        <v>65.5</v>
      </c>
      <c r="J13" s="76">
        <v>2</v>
      </c>
      <c r="K13" s="76">
        <v>40</v>
      </c>
      <c r="L13" s="76">
        <f>K13*53</f>
        <v>2120</v>
      </c>
      <c r="M13" s="75">
        <f>C13/L13</f>
        <v>162.14584433962264</v>
      </c>
      <c r="N13" s="120">
        <f>(C13/H13)/12</f>
        <v>218.66996819338422</v>
      </c>
    </row>
    <row r="14" spans="1:15" x14ac:dyDescent="0.25">
      <c r="A14" s="86" t="s">
        <v>20</v>
      </c>
      <c r="B14" s="76" t="s">
        <v>37</v>
      </c>
      <c r="C14" s="73">
        <v>220415.3</v>
      </c>
      <c r="D14" s="73">
        <v>186815.3</v>
      </c>
      <c r="E14" s="73">
        <v>33600</v>
      </c>
      <c r="F14" s="119"/>
      <c r="G14" s="119">
        <v>70</v>
      </c>
      <c r="H14" s="76">
        <v>68</v>
      </c>
      <c r="I14" s="76">
        <f>H14/J14</f>
        <v>34</v>
      </c>
      <c r="J14" s="76">
        <v>2</v>
      </c>
      <c r="K14" s="76">
        <v>40</v>
      </c>
      <c r="L14" s="76">
        <f>K14*53</f>
        <v>2120</v>
      </c>
      <c r="M14" s="75">
        <f>C14/L14</f>
        <v>103.96948113207547</v>
      </c>
      <c r="N14" s="120">
        <f>(C14/H14)/12</f>
        <v>270.11678921568625</v>
      </c>
    </row>
    <row r="15" spans="1:15" x14ac:dyDescent="0.25">
      <c r="A15" s="86" t="s">
        <v>2</v>
      </c>
      <c r="B15" s="76" t="s">
        <v>37</v>
      </c>
      <c r="C15" s="73">
        <v>407643.72</v>
      </c>
      <c r="D15" s="73">
        <v>257643.72</v>
      </c>
      <c r="E15" s="73">
        <v>150000</v>
      </c>
      <c r="F15" s="119"/>
      <c r="G15" s="119"/>
      <c r="H15" s="76">
        <v>75</v>
      </c>
      <c r="I15" s="76">
        <f>H15/J15</f>
        <v>37.5</v>
      </c>
      <c r="J15" s="76">
        <v>2</v>
      </c>
      <c r="K15" s="76">
        <v>40</v>
      </c>
      <c r="L15" s="76">
        <f>K15*53</f>
        <v>2120</v>
      </c>
      <c r="M15" s="75">
        <f>C15/L15</f>
        <v>192.28477358490565</v>
      </c>
      <c r="N15" s="120">
        <f>(C15/H15)/12</f>
        <v>452.93746666666658</v>
      </c>
    </row>
    <row r="16" spans="1:15" x14ac:dyDescent="0.25">
      <c r="A16" s="86" t="s">
        <v>26</v>
      </c>
      <c r="B16" s="76" t="s">
        <v>37</v>
      </c>
      <c r="C16" s="73">
        <f>D16+E16</f>
        <v>215732.25</v>
      </c>
      <c r="D16" s="73">
        <v>71800.55</v>
      </c>
      <c r="E16" s="73">
        <v>143931.70000000001</v>
      </c>
      <c r="F16" s="119">
        <v>60</v>
      </c>
      <c r="G16" s="119">
        <v>80</v>
      </c>
      <c r="H16" s="76">
        <v>60</v>
      </c>
      <c r="I16" s="76">
        <f>H16/J16</f>
        <v>30</v>
      </c>
      <c r="J16" s="76">
        <v>2</v>
      </c>
      <c r="K16" s="76">
        <v>40</v>
      </c>
      <c r="L16" s="76">
        <f>K16*53</f>
        <v>2120</v>
      </c>
      <c r="M16" s="75">
        <f>C16/L16</f>
        <v>101.76049528301887</v>
      </c>
      <c r="N16" s="120">
        <f>(C16/H16)/12</f>
        <v>299.62812500000001</v>
      </c>
    </row>
    <row r="17" spans="1:15" x14ac:dyDescent="0.25">
      <c r="A17" s="86" t="s">
        <v>13</v>
      </c>
      <c r="B17" s="76" t="s">
        <v>37</v>
      </c>
      <c r="C17" s="73">
        <v>219105</v>
      </c>
      <c r="D17" s="73">
        <v>78510</v>
      </c>
      <c r="E17" s="73">
        <v>140595</v>
      </c>
      <c r="F17" s="119">
        <v>60</v>
      </c>
      <c r="G17" s="119">
        <v>60</v>
      </c>
      <c r="H17" s="76">
        <v>60</v>
      </c>
      <c r="I17" s="76">
        <v>60</v>
      </c>
      <c r="J17" s="76">
        <v>1</v>
      </c>
      <c r="K17" s="76">
        <v>20</v>
      </c>
      <c r="L17" s="76">
        <f>K17*53</f>
        <v>1060</v>
      </c>
      <c r="M17" s="75">
        <f>C17/L17</f>
        <v>206.70283018867926</v>
      </c>
      <c r="N17" s="120">
        <f>(C17/H17)/12</f>
        <v>304.3125</v>
      </c>
    </row>
    <row r="18" spans="1:15" x14ac:dyDescent="0.25">
      <c r="A18" s="86" t="s">
        <v>6</v>
      </c>
      <c r="B18" s="76" t="s">
        <v>37</v>
      </c>
      <c r="C18" s="73">
        <v>253491.36</v>
      </c>
      <c r="D18" s="73">
        <v>162491.35999999999</v>
      </c>
      <c r="E18" s="73">
        <v>91000</v>
      </c>
      <c r="F18" s="119">
        <v>40</v>
      </c>
      <c r="G18" s="119"/>
      <c r="H18" s="76">
        <v>40</v>
      </c>
      <c r="I18" s="76">
        <v>40</v>
      </c>
      <c r="J18" s="76">
        <v>1</v>
      </c>
      <c r="K18" s="76">
        <v>11</v>
      </c>
      <c r="L18" s="76">
        <f>K18*53</f>
        <v>583</v>
      </c>
      <c r="M18" s="75">
        <f>C18/L18</f>
        <v>434.80507718696396</v>
      </c>
      <c r="N18" s="120">
        <f>(C18/H18)/12</f>
        <v>528.10699999999997</v>
      </c>
      <c r="O18" s="1">
        <f>(N18+N17+N16+N15+N14+N13+N12+N11+N10+N9+N8+N7+N6+N5)/14</f>
        <v>529.25079946861752</v>
      </c>
    </row>
    <row r="19" spans="1:15" x14ac:dyDescent="0.25">
      <c r="A19" s="86" t="s">
        <v>24</v>
      </c>
      <c r="B19" s="76" t="s">
        <v>73</v>
      </c>
      <c r="C19" s="75">
        <v>286300</v>
      </c>
      <c r="D19" s="75">
        <v>144000</v>
      </c>
      <c r="E19" s="73">
        <v>142300</v>
      </c>
      <c r="F19" s="119"/>
      <c r="G19" s="119">
        <v>28</v>
      </c>
      <c r="H19" s="76">
        <v>25</v>
      </c>
      <c r="I19" s="76">
        <v>25</v>
      </c>
      <c r="J19" s="76">
        <v>2</v>
      </c>
      <c r="K19" s="76">
        <v>40</v>
      </c>
      <c r="L19" s="76">
        <f>K19*53</f>
        <v>2120</v>
      </c>
      <c r="M19" s="75">
        <f>C19/L19</f>
        <v>135.04716981132074</v>
      </c>
      <c r="N19" s="120">
        <f>(C19/H19)/12</f>
        <v>954.33333333333337</v>
      </c>
      <c r="O19" s="1"/>
    </row>
    <row r="20" spans="1:15" x14ac:dyDescent="0.25">
      <c r="A20" s="86" t="s">
        <v>21</v>
      </c>
      <c r="B20" s="76" t="s">
        <v>73</v>
      </c>
      <c r="C20" s="73">
        <v>71740</v>
      </c>
      <c r="D20" s="73">
        <v>59040</v>
      </c>
      <c r="E20" s="73">
        <v>12700</v>
      </c>
      <c r="F20" s="119">
        <v>50</v>
      </c>
      <c r="G20" s="119">
        <v>20</v>
      </c>
      <c r="H20" s="76">
        <v>7</v>
      </c>
      <c r="I20" s="76"/>
      <c r="J20" s="76"/>
      <c r="K20" s="76"/>
      <c r="L20" s="76">
        <f>K20*53</f>
        <v>0</v>
      </c>
      <c r="M20" s="75" t="e">
        <f>C20/L20</f>
        <v>#DIV/0!</v>
      </c>
      <c r="N20" s="120">
        <f>(C20/H20)/12</f>
        <v>854.04761904761915</v>
      </c>
    </row>
    <row r="21" spans="1:15" ht="15.75" thickBot="1" x14ac:dyDescent="0.3">
      <c r="A21" s="130" t="s">
        <v>9</v>
      </c>
      <c r="B21" s="76" t="s">
        <v>73</v>
      </c>
      <c r="C21" s="131">
        <v>267864</v>
      </c>
      <c r="D21" s="141">
        <f>C21-E21</f>
        <v>75360</v>
      </c>
      <c r="E21" s="141">
        <v>192504</v>
      </c>
      <c r="F21" s="132">
        <v>100</v>
      </c>
      <c r="G21" s="132">
        <v>120</v>
      </c>
      <c r="H21" s="133">
        <v>100</v>
      </c>
      <c r="I21" s="133"/>
      <c r="J21" s="133"/>
      <c r="K21" s="133"/>
      <c r="L21" s="133">
        <f>K21*53</f>
        <v>0</v>
      </c>
      <c r="M21" s="134" t="e">
        <f>C21/L21</f>
        <v>#DIV/0!</v>
      </c>
      <c r="N21" s="135">
        <f>(C21/H21)/12</f>
        <v>223.22</v>
      </c>
      <c r="O21" s="1">
        <f>(N21+N20+N19)/3</f>
        <v>677.20031746031748</v>
      </c>
    </row>
    <row r="22" spans="1:15" ht="16.5" thickBot="1" x14ac:dyDescent="0.3">
      <c r="A22" s="136" t="s">
        <v>27</v>
      </c>
      <c r="B22" s="10"/>
      <c r="C22" s="34">
        <f>SUM(C2:C21)</f>
        <v>6411399.2700000005</v>
      </c>
      <c r="D22" s="34">
        <f>SUM(D2:D21)</f>
        <v>3082711.7199999997</v>
      </c>
      <c r="E22" s="34">
        <f>SUM(E2:E21)</f>
        <v>3328687.5500000007</v>
      </c>
      <c r="F22" s="137"/>
      <c r="G22" s="137"/>
      <c r="H22" s="10"/>
      <c r="I22" s="10"/>
      <c r="J22" s="10"/>
      <c r="K22" s="10"/>
      <c r="L22" s="10"/>
      <c r="M22" s="138" t="e">
        <f>(M2+M3+M4+M5+M7+M8+M9+M10+M11+M12+M13+M14+M15+M16+M19+M20+M21)/17</f>
        <v>#DIV/0!</v>
      </c>
      <c r="N22" s="139">
        <f>(N2+N3+N4+N5+N7+N8+N9+N10+N11+N12+N13+N14+N15+N16+N19+N20+N21)/17</f>
        <v>947.99586551127049</v>
      </c>
    </row>
  </sheetData>
  <autoFilter ref="A1:N22"/>
  <sortState ref="A2:N21">
    <sortCondition ref="B2:B2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pane xSplit="1" topLeftCell="B1" activePane="topRight" state="frozen"/>
      <selection pane="topRight" activeCell="H2" sqref="H2:H21"/>
    </sheetView>
  </sheetViews>
  <sheetFormatPr defaultRowHeight="15" x14ac:dyDescent="0.25"/>
  <cols>
    <col min="1" max="1" width="27.5703125" bestFit="1" customWidth="1"/>
    <col min="2" max="3" width="19.7109375" bestFit="1" customWidth="1"/>
    <col min="4" max="4" width="21.85546875" bestFit="1" customWidth="1"/>
    <col min="5" max="6" width="19.7109375" bestFit="1" customWidth="1"/>
    <col min="7" max="7" width="20.42578125" bestFit="1" customWidth="1"/>
    <col min="8" max="8" width="14.7109375" bestFit="1" customWidth="1"/>
    <col min="9" max="10" width="14.28515625" bestFit="1" customWidth="1"/>
  </cols>
  <sheetData>
    <row r="1" spans="1:9" ht="45.75" thickBot="1" x14ac:dyDescent="0.3">
      <c r="A1" s="143" t="s">
        <v>0</v>
      </c>
      <c r="B1" s="144" t="s">
        <v>34</v>
      </c>
      <c r="C1" s="144" t="s">
        <v>8</v>
      </c>
      <c r="D1" s="144" t="s">
        <v>45</v>
      </c>
      <c r="E1" s="144" t="s">
        <v>3</v>
      </c>
      <c r="F1" s="144" t="s">
        <v>14</v>
      </c>
      <c r="G1" s="145" t="s">
        <v>4</v>
      </c>
      <c r="H1" s="153" t="s">
        <v>67</v>
      </c>
      <c r="I1" s="154" t="s">
        <v>68</v>
      </c>
    </row>
    <row r="2" spans="1:9" x14ac:dyDescent="0.25">
      <c r="A2" s="82" t="s">
        <v>17</v>
      </c>
      <c r="B2" s="83">
        <v>314971.40000000002</v>
      </c>
      <c r="C2" s="83">
        <v>173892.68</v>
      </c>
      <c r="D2" s="83">
        <v>141078.72</v>
      </c>
      <c r="E2" s="84">
        <v>128160</v>
      </c>
      <c r="F2" s="83"/>
      <c r="G2" s="85"/>
      <c r="H2" s="146">
        <v>128160</v>
      </c>
      <c r="I2" s="147">
        <f t="shared" ref="I2:I21" si="0">D2-(E2+G2+F2)</f>
        <v>12918.720000000001</v>
      </c>
    </row>
    <row r="3" spans="1:9" x14ac:dyDescent="0.25">
      <c r="A3" s="86" t="s">
        <v>25</v>
      </c>
      <c r="B3" s="75">
        <v>411413.79</v>
      </c>
      <c r="C3" s="75">
        <v>209870</v>
      </c>
      <c r="D3" s="73">
        <v>201543.79</v>
      </c>
      <c r="E3" s="73">
        <v>83560.5</v>
      </c>
      <c r="F3" s="76"/>
      <c r="G3" s="87">
        <v>8491.39</v>
      </c>
      <c r="H3" s="146">
        <v>92051.89</v>
      </c>
      <c r="I3" s="148">
        <f t="shared" si="0"/>
        <v>109491.90000000001</v>
      </c>
    </row>
    <row r="4" spans="1:9" x14ac:dyDescent="0.25">
      <c r="A4" s="86" t="s">
        <v>11</v>
      </c>
      <c r="B4" s="73">
        <v>443700</v>
      </c>
      <c r="C4" s="77">
        <v>38200</v>
      </c>
      <c r="D4" s="77">
        <v>405500</v>
      </c>
      <c r="E4" s="73">
        <v>83542.5</v>
      </c>
      <c r="F4" s="73"/>
      <c r="G4" s="88">
        <v>2162.1999999999998</v>
      </c>
      <c r="H4" s="146">
        <v>85704.7</v>
      </c>
      <c r="I4" s="148">
        <f t="shared" si="0"/>
        <v>319795.3</v>
      </c>
    </row>
    <row r="5" spans="1:9" x14ac:dyDescent="0.25">
      <c r="A5" s="86" t="s">
        <v>10</v>
      </c>
      <c r="B5" s="73">
        <v>561196.68000000005</v>
      </c>
      <c r="C5" s="73">
        <v>199176.18</v>
      </c>
      <c r="D5" s="73">
        <v>362020.5</v>
      </c>
      <c r="E5" s="73">
        <v>80055</v>
      </c>
      <c r="F5" s="73"/>
      <c r="G5" s="88">
        <v>613.92999999999995</v>
      </c>
      <c r="H5" s="146">
        <v>80668.929999999993</v>
      </c>
      <c r="I5" s="148">
        <f t="shared" si="0"/>
        <v>281351.57</v>
      </c>
    </row>
    <row r="6" spans="1:9" x14ac:dyDescent="0.25">
      <c r="A6" s="86" t="s">
        <v>19</v>
      </c>
      <c r="B6" s="77">
        <v>719838</v>
      </c>
      <c r="C6" s="77">
        <v>579838</v>
      </c>
      <c r="D6" s="77">
        <v>140000</v>
      </c>
      <c r="E6" s="73">
        <v>69822</v>
      </c>
      <c r="F6" s="73"/>
      <c r="G6" s="88">
        <v>1350</v>
      </c>
      <c r="H6" s="146">
        <v>71172</v>
      </c>
      <c r="I6" s="148">
        <f t="shared" si="0"/>
        <v>68828</v>
      </c>
    </row>
    <row r="7" spans="1:9" x14ac:dyDescent="0.25">
      <c r="A7" s="86" t="s">
        <v>7</v>
      </c>
      <c r="B7" s="73">
        <v>244973.19</v>
      </c>
      <c r="C7" s="73">
        <v>163573.19</v>
      </c>
      <c r="D7" s="73">
        <v>81400</v>
      </c>
      <c r="E7" s="73">
        <v>56430</v>
      </c>
      <c r="F7" s="78">
        <v>135000</v>
      </c>
      <c r="G7" s="88"/>
      <c r="H7" s="146">
        <v>191430</v>
      </c>
      <c r="I7" s="147">
        <f t="shared" si="0"/>
        <v>-110030</v>
      </c>
    </row>
    <row r="8" spans="1:9" x14ac:dyDescent="0.25">
      <c r="A8" s="86" t="s">
        <v>15</v>
      </c>
      <c r="B8" s="73">
        <v>378840</v>
      </c>
      <c r="C8" s="73">
        <v>200519.15</v>
      </c>
      <c r="D8" s="73">
        <v>178320.85</v>
      </c>
      <c r="E8" s="73">
        <v>30411</v>
      </c>
      <c r="F8" s="79">
        <v>3422.15</v>
      </c>
      <c r="G8" s="89">
        <v>5783.95</v>
      </c>
      <c r="H8" s="146">
        <v>39617.1</v>
      </c>
      <c r="I8" s="148">
        <f t="shared" si="0"/>
        <v>138703.75</v>
      </c>
    </row>
    <row r="9" spans="1:9" x14ac:dyDescent="0.25">
      <c r="A9" s="86" t="s">
        <v>23</v>
      </c>
      <c r="B9" s="73">
        <v>325618</v>
      </c>
      <c r="C9" s="73">
        <v>136680</v>
      </c>
      <c r="D9" s="73">
        <v>188938</v>
      </c>
      <c r="E9" s="74">
        <v>27000</v>
      </c>
      <c r="F9" s="76"/>
      <c r="G9" s="90"/>
      <c r="H9" s="146">
        <v>27000</v>
      </c>
      <c r="I9" s="148">
        <f t="shared" si="0"/>
        <v>161938</v>
      </c>
    </row>
    <row r="10" spans="1:9" x14ac:dyDescent="0.25">
      <c r="A10" s="86" t="s">
        <v>16</v>
      </c>
      <c r="B10" s="73">
        <v>187295.39</v>
      </c>
      <c r="C10" s="73">
        <v>63937.78</v>
      </c>
      <c r="D10" s="73">
        <v>123357.61</v>
      </c>
      <c r="E10" s="73">
        <v>13500</v>
      </c>
      <c r="F10" s="79">
        <v>1080</v>
      </c>
      <c r="G10" s="88">
        <v>332.98</v>
      </c>
      <c r="H10" s="146">
        <v>14912.98</v>
      </c>
      <c r="I10" s="148">
        <f t="shared" si="0"/>
        <v>108444.63</v>
      </c>
    </row>
    <row r="11" spans="1:9" x14ac:dyDescent="0.25">
      <c r="A11" s="86" t="s">
        <v>18</v>
      </c>
      <c r="B11" s="73">
        <v>191129</v>
      </c>
      <c r="C11" s="73">
        <v>1918</v>
      </c>
      <c r="D11" s="73">
        <v>189211</v>
      </c>
      <c r="E11" s="73">
        <v>12352.5</v>
      </c>
      <c r="F11" s="73"/>
      <c r="G11" s="88">
        <v>3759.49</v>
      </c>
      <c r="H11" s="146">
        <v>16111.99</v>
      </c>
      <c r="I11" s="148">
        <f t="shared" si="0"/>
        <v>173099.01</v>
      </c>
    </row>
    <row r="12" spans="1:9" x14ac:dyDescent="0.25">
      <c r="A12" s="86" t="s">
        <v>22</v>
      </c>
      <c r="B12" s="73">
        <v>346383</v>
      </c>
      <c r="C12" s="80">
        <v>158484.78</v>
      </c>
      <c r="D12" s="80">
        <v>187898.22</v>
      </c>
      <c r="E12" s="73">
        <v>10305</v>
      </c>
      <c r="F12" s="73"/>
      <c r="G12" s="87"/>
      <c r="H12" s="146">
        <v>10305</v>
      </c>
      <c r="I12" s="148">
        <f t="shared" si="0"/>
        <v>177593.22</v>
      </c>
    </row>
    <row r="13" spans="1:9" x14ac:dyDescent="0.25">
      <c r="A13" s="86" t="s">
        <v>13</v>
      </c>
      <c r="B13" s="73">
        <v>219105</v>
      </c>
      <c r="C13" s="73">
        <v>78510</v>
      </c>
      <c r="D13" s="73">
        <v>140595</v>
      </c>
      <c r="E13" s="73">
        <v>9540</v>
      </c>
      <c r="F13" s="81">
        <v>2340</v>
      </c>
      <c r="G13" s="88">
        <v>8656.42</v>
      </c>
      <c r="H13" s="146">
        <v>20536.419999999998</v>
      </c>
      <c r="I13" s="148">
        <f t="shared" si="0"/>
        <v>120058.58</v>
      </c>
    </row>
    <row r="14" spans="1:9" x14ac:dyDescent="0.25">
      <c r="A14" s="86" t="s">
        <v>24</v>
      </c>
      <c r="B14" s="75">
        <v>286300</v>
      </c>
      <c r="C14" s="75">
        <v>144000</v>
      </c>
      <c r="D14" s="73">
        <v>142300</v>
      </c>
      <c r="E14" s="74">
        <v>6300</v>
      </c>
      <c r="F14" s="76"/>
      <c r="G14" s="90"/>
      <c r="H14" s="146">
        <v>6300</v>
      </c>
      <c r="I14" s="148">
        <f t="shared" si="0"/>
        <v>136000</v>
      </c>
    </row>
    <row r="15" spans="1:9" x14ac:dyDescent="0.25">
      <c r="A15" s="86" t="s">
        <v>6</v>
      </c>
      <c r="B15" s="73">
        <v>253491.36</v>
      </c>
      <c r="C15" s="73">
        <v>162491.35999999999</v>
      </c>
      <c r="D15" s="73">
        <v>91000</v>
      </c>
      <c r="E15" s="73">
        <v>4162.5</v>
      </c>
      <c r="F15" s="73"/>
      <c r="G15" s="88"/>
      <c r="H15" s="146">
        <v>4162.5</v>
      </c>
      <c r="I15" s="148">
        <f t="shared" si="0"/>
        <v>86837.5</v>
      </c>
    </row>
    <row r="16" spans="1:9" x14ac:dyDescent="0.25">
      <c r="A16" s="86" t="s">
        <v>12</v>
      </c>
      <c r="B16" s="73">
        <v>343749.19</v>
      </c>
      <c r="C16" s="73">
        <v>120961.03</v>
      </c>
      <c r="D16" s="73">
        <v>222788.16</v>
      </c>
      <c r="E16" s="73">
        <v>4080.18</v>
      </c>
      <c r="F16" s="73"/>
      <c r="G16" s="88">
        <v>1112.9100000000001</v>
      </c>
      <c r="H16" s="146">
        <v>5193.09</v>
      </c>
      <c r="I16" s="148">
        <f t="shared" si="0"/>
        <v>217595.07</v>
      </c>
    </row>
    <row r="17" spans="1:9" ht="15.75" x14ac:dyDescent="0.25">
      <c r="A17" s="86" t="s">
        <v>21</v>
      </c>
      <c r="B17" s="73">
        <v>71740</v>
      </c>
      <c r="C17" s="73">
        <v>59040</v>
      </c>
      <c r="D17" s="73">
        <v>12700</v>
      </c>
      <c r="E17" s="73">
        <v>3600</v>
      </c>
      <c r="F17" s="73"/>
      <c r="G17" s="88">
        <v>85543.89</v>
      </c>
      <c r="H17" s="149">
        <v>89143.89</v>
      </c>
      <c r="I17" s="147">
        <f t="shared" si="0"/>
        <v>-76443.89</v>
      </c>
    </row>
    <row r="18" spans="1:9" x14ac:dyDescent="0.25">
      <c r="A18" s="86" t="s">
        <v>9</v>
      </c>
      <c r="B18" s="73">
        <v>267864</v>
      </c>
      <c r="C18" s="80">
        <f>B18-D18</f>
        <v>75360</v>
      </c>
      <c r="D18" s="80">
        <v>192504</v>
      </c>
      <c r="E18" s="73">
        <v>1800</v>
      </c>
      <c r="F18" s="73"/>
      <c r="G18" s="88"/>
      <c r="H18" s="146">
        <v>1800</v>
      </c>
      <c r="I18" s="148">
        <f t="shared" si="0"/>
        <v>190704</v>
      </c>
    </row>
    <row r="19" spans="1:9" x14ac:dyDescent="0.25">
      <c r="A19" s="86" t="s">
        <v>20</v>
      </c>
      <c r="B19" s="73">
        <v>220415.3</v>
      </c>
      <c r="C19" s="73">
        <v>186815.3</v>
      </c>
      <c r="D19" s="73">
        <v>33600</v>
      </c>
      <c r="E19" s="73">
        <v>1800</v>
      </c>
      <c r="F19" s="73"/>
      <c r="G19" s="88"/>
      <c r="H19" s="146">
        <v>1800</v>
      </c>
      <c r="I19" s="150">
        <f t="shared" si="0"/>
        <v>31800</v>
      </c>
    </row>
    <row r="20" spans="1:9" x14ac:dyDescent="0.25">
      <c r="A20" s="86" t="s">
        <v>2</v>
      </c>
      <c r="B20" s="73">
        <v>407643.72</v>
      </c>
      <c r="C20" s="73">
        <v>257643.72</v>
      </c>
      <c r="D20" s="73">
        <v>150000</v>
      </c>
      <c r="E20" s="73">
        <v>450</v>
      </c>
      <c r="F20" s="73"/>
      <c r="G20" s="88"/>
      <c r="H20" s="146">
        <v>450</v>
      </c>
      <c r="I20" s="148">
        <f t="shared" si="0"/>
        <v>149550</v>
      </c>
    </row>
    <row r="21" spans="1:9" ht="15.75" thickBot="1" x14ac:dyDescent="0.3">
      <c r="A21" s="91" t="s">
        <v>26</v>
      </c>
      <c r="B21" s="92">
        <f>C21+D21</f>
        <v>215732.25</v>
      </c>
      <c r="C21" s="92">
        <v>71800.55</v>
      </c>
      <c r="D21" s="92">
        <v>143931.70000000001</v>
      </c>
      <c r="E21" s="92">
        <v>0</v>
      </c>
      <c r="F21" s="93">
        <v>117000</v>
      </c>
      <c r="G21" s="94"/>
      <c r="H21" s="151">
        <v>117000</v>
      </c>
      <c r="I21" s="152">
        <f t="shared" si="0"/>
        <v>26931.700000000012</v>
      </c>
    </row>
    <row r="22" spans="1:9" ht="16.5" thickBot="1" x14ac:dyDescent="0.3">
      <c r="A22" s="41" t="s">
        <v>27</v>
      </c>
      <c r="B22" s="42">
        <f t="shared" ref="B22:G22" si="1">SUM(B2:B21)</f>
        <v>6411399.2700000005</v>
      </c>
      <c r="C22" s="42">
        <f t="shared" si="1"/>
        <v>3082711.7199999993</v>
      </c>
      <c r="D22" s="42">
        <f t="shared" si="1"/>
        <v>3328687.5500000007</v>
      </c>
      <c r="E22" s="42">
        <f t="shared" si="1"/>
        <v>626871.18000000005</v>
      </c>
      <c r="F22" s="42">
        <f>SUM(F2:F21)</f>
        <v>258842.15</v>
      </c>
      <c r="G22" s="72">
        <f t="shared" si="1"/>
        <v>117807.16</v>
      </c>
      <c r="I22" s="2"/>
    </row>
    <row r="23" spans="1:9" ht="15.75" thickBot="1" x14ac:dyDescent="0.3"/>
    <row r="24" spans="1:9" ht="30" x14ac:dyDescent="0.25">
      <c r="B24" s="4" t="s">
        <v>28</v>
      </c>
      <c r="C24" s="5" t="s">
        <v>29</v>
      </c>
      <c r="D24" s="5" t="s">
        <v>30</v>
      </c>
      <c r="E24" s="5" t="s">
        <v>31</v>
      </c>
    </row>
    <row r="25" spans="1:9" ht="19.5" thickBot="1" x14ac:dyDescent="0.35">
      <c r="B25" s="7">
        <v>975072.5</v>
      </c>
      <c r="C25" s="8">
        <f>E2+E9+E14</f>
        <v>161460</v>
      </c>
      <c r="D25" s="8">
        <f>F22</f>
        <v>258842.15</v>
      </c>
      <c r="E25" s="8">
        <f>B25-(C25+D25)</f>
        <v>554770.35</v>
      </c>
    </row>
    <row r="27" spans="1:9" ht="15.75" thickBot="1" x14ac:dyDescent="0.3"/>
    <row r="28" spans="1:9" ht="30" x14ac:dyDescent="0.25">
      <c r="B28" s="4" t="s">
        <v>28</v>
      </c>
      <c r="C28" s="5" t="s">
        <v>29</v>
      </c>
      <c r="D28" s="5" t="s">
        <v>30</v>
      </c>
      <c r="E28" s="5" t="s">
        <v>31</v>
      </c>
      <c r="F28" s="19" t="s">
        <v>32</v>
      </c>
      <c r="G28" s="6" t="s">
        <v>33</v>
      </c>
    </row>
    <row r="29" spans="1:9" ht="19.5" thickBot="1" x14ac:dyDescent="0.35">
      <c r="B29" s="7">
        <v>975072.5</v>
      </c>
      <c r="C29" s="8">
        <f>E2+E9+E14</f>
        <v>161460</v>
      </c>
      <c r="D29" s="8">
        <f>F8+F10+F13+F21+F7</f>
        <v>258842.15</v>
      </c>
      <c r="E29" s="8">
        <f>B29-(C29+D29)</f>
        <v>554770.35</v>
      </c>
      <c r="F29" s="20">
        <v>360000</v>
      </c>
      <c r="G29" s="9">
        <f>E29-F29</f>
        <v>194770.34999999998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1" sqref="E1"/>
    </sheetView>
  </sheetViews>
  <sheetFormatPr defaultRowHeight="15" x14ac:dyDescent="0.25"/>
  <cols>
    <col min="1" max="1" width="27.5703125" bestFit="1" customWidth="1"/>
    <col min="2" max="4" width="17.7109375" bestFit="1" customWidth="1"/>
    <col min="5" max="5" width="14.7109375" bestFit="1" customWidth="1"/>
    <col min="6" max="6" width="14.28515625" bestFit="1" customWidth="1"/>
  </cols>
  <sheetData>
    <row r="1" spans="1:6" ht="45.75" thickBot="1" x14ac:dyDescent="0.3">
      <c r="A1" s="143" t="s">
        <v>0</v>
      </c>
      <c r="B1" s="144" t="s">
        <v>34</v>
      </c>
      <c r="C1" s="144" t="s">
        <v>8</v>
      </c>
      <c r="D1" s="144" t="s">
        <v>45</v>
      </c>
      <c r="E1" s="153" t="s">
        <v>69</v>
      </c>
      <c r="F1" s="154" t="s">
        <v>68</v>
      </c>
    </row>
    <row r="2" spans="1:6" x14ac:dyDescent="0.25">
      <c r="A2" s="82" t="s">
        <v>17</v>
      </c>
      <c r="B2" s="83">
        <v>314971.40000000002</v>
      </c>
      <c r="C2" s="83">
        <v>173892.68</v>
      </c>
      <c r="D2" s="83">
        <v>141078.72</v>
      </c>
      <c r="E2" s="146">
        <v>128160</v>
      </c>
      <c r="F2" s="156">
        <f>D2-E2</f>
        <v>12918.720000000001</v>
      </c>
    </row>
    <row r="3" spans="1:6" x14ac:dyDescent="0.25">
      <c r="A3" s="86" t="s">
        <v>25</v>
      </c>
      <c r="B3" s="75">
        <v>411413.79</v>
      </c>
      <c r="C3" s="75">
        <v>209870</v>
      </c>
      <c r="D3" s="73">
        <v>201543.79</v>
      </c>
      <c r="E3" s="146">
        <v>92051.89</v>
      </c>
      <c r="F3" s="155">
        <f t="shared" ref="F3:F21" si="0">D3-E3</f>
        <v>109491.90000000001</v>
      </c>
    </row>
    <row r="4" spans="1:6" x14ac:dyDescent="0.25">
      <c r="A4" s="86" t="s">
        <v>11</v>
      </c>
      <c r="B4" s="73">
        <v>443700</v>
      </c>
      <c r="C4" s="77">
        <v>38200</v>
      </c>
      <c r="D4" s="77">
        <v>405500</v>
      </c>
      <c r="E4" s="146">
        <v>85704.7</v>
      </c>
      <c r="F4" s="155">
        <f t="shared" si="0"/>
        <v>319795.3</v>
      </c>
    </row>
    <row r="5" spans="1:6" x14ac:dyDescent="0.25">
      <c r="A5" s="86" t="s">
        <v>10</v>
      </c>
      <c r="B5" s="73">
        <v>561196.68000000005</v>
      </c>
      <c r="C5" s="73">
        <v>199176.18</v>
      </c>
      <c r="D5" s="73">
        <v>362020.5</v>
      </c>
      <c r="E5" s="146">
        <v>80668.929999999993</v>
      </c>
      <c r="F5" s="155">
        <f t="shared" si="0"/>
        <v>281351.57</v>
      </c>
    </row>
    <row r="6" spans="1:6" x14ac:dyDescent="0.25">
      <c r="A6" s="86" t="s">
        <v>19</v>
      </c>
      <c r="B6" s="77">
        <v>719838</v>
      </c>
      <c r="C6" s="77">
        <v>579838</v>
      </c>
      <c r="D6" s="77">
        <v>140000</v>
      </c>
      <c r="E6" s="146">
        <v>71172</v>
      </c>
      <c r="F6" s="156">
        <f t="shared" si="0"/>
        <v>68828</v>
      </c>
    </row>
    <row r="7" spans="1:6" x14ac:dyDescent="0.25">
      <c r="A7" s="86" t="s">
        <v>7</v>
      </c>
      <c r="B7" s="73">
        <v>244973.19</v>
      </c>
      <c r="C7" s="73">
        <v>163573.19</v>
      </c>
      <c r="D7" s="73">
        <v>81400</v>
      </c>
      <c r="E7" s="146">
        <v>191430</v>
      </c>
      <c r="F7" s="157">
        <f t="shared" si="0"/>
        <v>-110030</v>
      </c>
    </row>
    <row r="8" spans="1:6" x14ac:dyDescent="0.25">
      <c r="A8" s="86" t="s">
        <v>15</v>
      </c>
      <c r="B8" s="73">
        <v>378840</v>
      </c>
      <c r="C8" s="73">
        <v>200519.15</v>
      </c>
      <c r="D8" s="73">
        <v>178320.85</v>
      </c>
      <c r="E8" s="146">
        <v>39617.1</v>
      </c>
      <c r="F8" s="155">
        <f t="shared" si="0"/>
        <v>138703.75</v>
      </c>
    </row>
    <row r="9" spans="1:6" x14ac:dyDescent="0.25">
      <c r="A9" s="86" t="s">
        <v>23</v>
      </c>
      <c r="B9" s="73">
        <v>325618</v>
      </c>
      <c r="C9" s="73">
        <v>136680</v>
      </c>
      <c r="D9" s="73">
        <v>188938</v>
      </c>
      <c r="E9" s="146">
        <v>27000</v>
      </c>
      <c r="F9" s="155">
        <f t="shared" si="0"/>
        <v>161938</v>
      </c>
    </row>
    <row r="10" spans="1:6" x14ac:dyDescent="0.25">
      <c r="A10" s="86" t="s">
        <v>16</v>
      </c>
      <c r="B10" s="73">
        <v>187295.39</v>
      </c>
      <c r="C10" s="73">
        <v>63937.78</v>
      </c>
      <c r="D10" s="73">
        <v>123357.61</v>
      </c>
      <c r="E10" s="146">
        <v>14912.98</v>
      </c>
      <c r="F10" s="155">
        <f t="shared" si="0"/>
        <v>108444.63</v>
      </c>
    </row>
    <row r="11" spans="1:6" x14ac:dyDescent="0.25">
      <c r="A11" s="86" t="s">
        <v>18</v>
      </c>
      <c r="B11" s="73">
        <v>191129</v>
      </c>
      <c r="C11" s="73">
        <v>1918</v>
      </c>
      <c r="D11" s="73">
        <v>189211</v>
      </c>
      <c r="E11" s="146">
        <v>16111.99</v>
      </c>
      <c r="F11" s="155">
        <f t="shared" si="0"/>
        <v>173099.01</v>
      </c>
    </row>
    <row r="12" spans="1:6" x14ac:dyDescent="0.25">
      <c r="A12" s="86" t="s">
        <v>22</v>
      </c>
      <c r="B12" s="73">
        <v>346383</v>
      </c>
      <c r="C12" s="80">
        <v>158484.78</v>
      </c>
      <c r="D12" s="80">
        <v>187898.22</v>
      </c>
      <c r="E12" s="146">
        <v>10305</v>
      </c>
      <c r="F12" s="155">
        <f t="shared" si="0"/>
        <v>177593.22</v>
      </c>
    </row>
    <row r="13" spans="1:6" x14ac:dyDescent="0.25">
      <c r="A13" s="86" t="s">
        <v>13</v>
      </c>
      <c r="B13" s="73">
        <v>219105</v>
      </c>
      <c r="C13" s="73">
        <v>78510</v>
      </c>
      <c r="D13" s="73">
        <v>140595</v>
      </c>
      <c r="E13" s="146">
        <v>20536.419999999998</v>
      </c>
      <c r="F13" s="155">
        <f t="shared" si="0"/>
        <v>120058.58</v>
      </c>
    </row>
    <row r="14" spans="1:6" x14ac:dyDescent="0.25">
      <c r="A14" s="86" t="s">
        <v>24</v>
      </c>
      <c r="B14" s="75">
        <v>286300</v>
      </c>
      <c r="C14" s="75">
        <v>144000</v>
      </c>
      <c r="D14" s="73">
        <v>142300</v>
      </c>
      <c r="E14" s="146">
        <v>6300</v>
      </c>
      <c r="F14" s="155">
        <f t="shared" si="0"/>
        <v>136000</v>
      </c>
    </row>
    <row r="15" spans="1:6" x14ac:dyDescent="0.25">
      <c r="A15" s="86" t="s">
        <v>6</v>
      </c>
      <c r="B15" s="73">
        <v>253491.36</v>
      </c>
      <c r="C15" s="73">
        <v>162491.35999999999</v>
      </c>
      <c r="D15" s="73">
        <v>91000</v>
      </c>
      <c r="E15" s="146">
        <v>4162.5</v>
      </c>
      <c r="F15" s="155">
        <f t="shared" si="0"/>
        <v>86837.5</v>
      </c>
    </row>
    <row r="16" spans="1:6" x14ac:dyDescent="0.25">
      <c r="A16" s="86" t="s">
        <v>12</v>
      </c>
      <c r="B16" s="73">
        <v>343749.19</v>
      </c>
      <c r="C16" s="73">
        <v>120961.03</v>
      </c>
      <c r="D16" s="73">
        <v>222788.16</v>
      </c>
      <c r="E16" s="146">
        <v>5193.09</v>
      </c>
      <c r="F16" s="155">
        <f t="shared" si="0"/>
        <v>217595.07</v>
      </c>
    </row>
    <row r="17" spans="1:6" ht="15.75" x14ac:dyDescent="0.25">
      <c r="A17" s="86" t="s">
        <v>21</v>
      </c>
      <c r="B17" s="73">
        <v>71740</v>
      </c>
      <c r="C17" s="73">
        <v>59040</v>
      </c>
      <c r="D17" s="73">
        <v>12700</v>
      </c>
      <c r="E17" s="159">
        <v>89143.89</v>
      </c>
      <c r="F17" s="157">
        <f t="shared" si="0"/>
        <v>-76443.89</v>
      </c>
    </row>
    <row r="18" spans="1:6" x14ac:dyDescent="0.25">
      <c r="A18" s="86" t="s">
        <v>9</v>
      </c>
      <c r="B18" s="73">
        <v>267864</v>
      </c>
      <c r="C18" s="80">
        <f>B18-D18</f>
        <v>75360</v>
      </c>
      <c r="D18" s="80">
        <v>192504</v>
      </c>
      <c r="E18" s="146">
        <v>1800</v>
      </c>
      <c r="F18" s="155">
        <f t="shared" si="0"/>
        <v>190704</v>
      </c>
    </row>
    <row r="19" spans="1:6" x14ac:dyDescent="0.25">
      <c r="A19" s="86" t="s">
        <v>20</v>
      </c>
      <c r="B19" s="73">
        <v>220415.3</v>
      </c>
      <c r="C19" s="73">
        <v>186815.3</v>
      </c>
      <c r="D19" s="73">
        <v>33600</v>
      </c>
      <c r="E19" s="146">
        <v>1800</v>
      </c>
      <c r="F19" s="156">
        <f t="shared" si="0"/>
        <v>31800</v>
      </c>
    </row>
    <row r="20" spans="1:6" x14ac:dyDescent="0.25">
      <c r="A20" s="86" t="s">
        <v>2</v>
      </c>
      <c r="B20" s="73">
        <v>407643.72</v>
      </c>
      <c r="C20" s="73">
        <v>257643.72</v>
      </c>
      <c r="D20" s="73">
        <v>150000</v>
      </c>
      <c r="E20" s="146">
        <v>450</v>
      </c>
      <c r="F20" s="155">
        <f t="shared" si="0"/>
        <v>149550</v>
      </c>
    </row>
    <row r="21" spans="1:6" ht="15.75" thickBot="1" x14ac:dyDescent="0.3">
      <c r="A21" s="91" t="s">
        <v>26</v>
      </c>
      <c r="B21" s="92">
        <f>C21+D21</f>
        <v>215732.25</v>
      </c>
      <c r="C21" s="92">
        <v>71800.55</v>
      </c>
      <c r="D21" s="92">
        <v>143931.70000000001</v>
      </c>
      <c r="E21" s="151">
        <v>117000</v>
      </c>
      <c r="F21" s="158">
        <f t="shared" si="0"/>
        <v>26931.700000000012</v>
      </c>
    </row>
    <row r="22" spans="1:6" ht="16.5" thickBot="1" x14ac:dyDescent="0.3">
      <c r="A22" s="41" t="s">
        <v>27</v>
      </c>
      <c r="B22" s="42">
        <f t="shared" ref="B22:D22" si="1">SUM(B2:B21)</f>
        <v>6411399.2700000005</v>
      </c>
      <c r="C22" s="42">
        <f t="shared" si="1"/>
        <v>3082711.7199999993</v>
      </c>
      <c r="D22" s="42">
        <f t="shared" si="1"/>
        <v>3328687.5500000007</v>
      </c>
      <c r="F22" s="2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80" zoomScaleNormal="80" workbookViewId="0">
      <pane xSplit="1" topLeftCell="E1" activePane="topRight" state="frozen"/>
      <selection pane="topRight" activeCell="J1" sqref="J1:J22"/>
    </sheetView>
  </sheetViews>
  <sheetFormatPr defaultRowHeight="15" x14ac:dyDescent="0.25"/>
  <cols>
    <col min="1" max="1" width="28.5703125" bestFit="1" customWidth="1"/>
    <col min="2" max="3" width="18.85546875" customWidth="1"/>
    <col min="4" max="4" width="22.28515625" bestFit="1" customWidth="1"/>
    <col min="5" max="8" width="19.7109375" bestFit="1" customWidth="1"/>
    <col min="9" max="9" width="22.42578125" customWidth="1"/>
    <col min="10" max="10" width="17.42578125" customWidth="1"/>
    <col min="11" max="11" width="19.140625" customWidth="1"/>
    <col min="12" max="12" width="17" bestFit="1" customWidth="1"/>
    <col min="13" max="13" width="15.140625" customWidth="1"/>
    <col min="15" max="15" width="13.28515625" customWidth="1"/>
  </cols>
  <sheetData>
    <row r="1" spans="1:15" ht="45.75" thickBot="1" x14ac:dyDescent="0.3">
      <c r="A1" s="14" t="s">
        <v>0</v>
      </c>
      <c r="B1" s="40" t="s">
        <v>34</v>
      </c>
      <c r="C1" s="40" t="s">
        <v>8</v>
      </c>
      <c r="D1" s="40" t="s">
        <v>45</v>
      </c>
      <c r="E1" s="36" t="s">
        <v>3</v>
      </c>
      <c r="F1" s="36" t="s">
        <v>14</v>
      </c>
      <c r="G1" s="36" t="s">
        <v>4</v>
      </c>
      <c r="H1" s="36" t="s">
        <v>5</v>
      </c>
      <c r="I1" s="36" t="s">
        <v>1</v>
      </c>
      <c r="J1" s="36" t="s">
        <v>43</v>
      </c>
      <c r="K1" s="37" t="s">
        <v>44</v>
      </c>
      <c r="L1" s="38" t="s">
        <v>46</v>
      </c>
      <c r="M1" s="38" t="s">
        <v>47</v>
      </c>
      <c r="N1" s="38" t="s">
        <v>48</v>
      </c>
      <c r="O1" s="39" t="s">
        <v>49</v>
      </c>
    </row>
    <row r="2" spans="1:15" ht="16.5" thickBot="1" x14ac:dyDescent="0.3">
      <c r="A2" s="46" t="s">
        <v>17</v>
      </c>
      <c r="B2" s="47">
        <v>314971.40000000002</v>
      </c>
      <c r="C2" s="47">
        <v>173892.68</v>
      </c>
      <c r="D2" s="47">
        <v>141078.72</v>
      </c>
      <c r="E2" s="48">
        <v>128160</v>
      </c>
      <c r="F2" s="47"/>
      <c r="G2" s="49"/>
      <c r="H2" s="50">
        <v>18000</v>
      </c>
      <c r="I2" s="47">
        <f>E2+F2+H2</f>
        <v>146160</v>
      </c>
      <c r="J2" s="51">
        <f t="shared" ref="J2:J21" si="0">H2+F2</f>
        <v>18000</v>
      </c>
      <c r="K2" s="52">
        <f>D2-(E2+F2+H2)</f>
        <v>-5081.2799999999988</v>
      </c>
      <c r="L2" s="53">
        <f>E2+F2+G2+H2</f>
        <v>146160</v>
      </c>
      <c r="M2" s="54">
        <f>D2-L2</f>
        <v>-5081.2799999999988</v>
      </c>
      <c r="N2" s="55">
        <f>L2/B2</f>
        <v>0.46404213207929351</v>
      </c>
      <c r="O2" s="56">
        <f t="shared" ref="O2:O20" si="1">M2/D2</f>
        <v>-3.601733840511169E-2</v>
      </c>
    </row>
    <row r="3" spans="1:15" ht="16.5" thickBot="1" x14ac:dyDescent="0.3">
      <c r="A3" s="21" t="s">
        <v>25</v>
      </c>
      <c r="B3" s="25">
        <v>411413.79</v>
      </c>
      <c r="C3" s="25">
        <v>209870</v>
      </c>
      <c r="D3" s="22">
        <v>201543.79</v>
      </c>
      <c r="E3" s="22">
        <v>83560.5</v>
      </c>
      <c r="F3" s="26"/>
      <c r="G3" s="27">
        <v>8491.39</v>
      </c>
      <c r="H3" s="50">
        <v>18000</v>
      </c>
      <c r="I3" s="22">
        <f>E3+F3+H3</f>
        <v>101560.5</v>
      </c>
      <c r="J3" s="57">
        <f t="shared" si="0"/>
        <v>18000</v>
      </c>
      <c r="K3" s="12">
        <f>D3-(E3+F3+H3)</f>
        <v>99983.290000000008</v>
      </c>
      <c r="L3" s="25">
        <f>E3+F3+G3+H3</f>
        <v>110051.89</v>
      </c>
      <c r="M3" s="25">
        <f t="shared" ref="M3:M21" si="2">D3-L3</f>
        <v>91491.900000000009</v>
      </c>
      <c r="N3" s="26">
        <f t="shared" ref="N3:N20" si="3">L3/B3</f>
        <v>0.2674968430202595</v>
      </c>
      <c r="O3" s="58">
        <f t="shared" si="1"/>
        <v>0.45395544065138405</v>
      </c>
    </row>
    <row r="4" spans="1:15" ht="16.5" thickBot="1" x14ac:dyDescent="0.3">
      <c r="A4" s="21" t="s">
        <v>11</v>
      </c>
      <c r="B4" s="22">
        <v>443700</v>
      </c>
      <c r="C4" s="28">
        <v>38200</v>
      </c>
      <c r="D4" s="28">
        <v>405500</v>
      </c>
      <c r="E4" s="22">
        <v>83542.5</v>
      </c>
      <c r="F4" s="22"/>
      <c r="G4" s="24">
        <v>2162.1999999999998</v>
      </c>
      <c r="H4" s="50">
        <v>18000</v>
      </c>
      <c r="I4" s="22">
        <f>E4+F4+H4</f>
        <v>101542.5</v>
      </c>
      <c r="J4" s="57">
        <f t="shared" si="0"/>
        <v>18000</v>
      </c>
      <c r="K4" s="12">
        <f>D4-(E4+F4+H4)</f>
        <v>303957.5</v>
      </c>
      <c r="L4" s="25">
        <f t="shared" ref="L4:L21" si="4">E4+F4+G4+H4</f>
        <v>103704.7</v>
      </c>
      <c r="M4" s="25">
        <f t="shared" si="2"/>
        <v>301795.3</v>
      </c>
      <c r="N4" s="26">
        <f t="shared" si="3"/>
        <v>0.2337270678386297</v>
      </c>
      <c r="O4" s="58">
        <f t="shared" si="1"/>
        <v>0.74425474722564733</v>
      </c>
    </row>
    <row r="5" spans="1:15" ht="16.5" thickBot="1" x14ac:dyDescent="0.3">
      <c r="A5" s="21" t="s">
        <v>10</v>
      </c>
      <c r="B5" s="22">
        <v>561196.68000000005</v>
      </c>
      <c r="C5" s="22">
        <v>199176.18</v>
      </c>
      <c r="D5" s="22">
        <v>362020.5</v>
      </c>
      <c r="E5" s="22">
        <v>80055</v>
      </c>
      <c r="F5" s="22"/>
      <c r="G5" s="24">
        <v>613.92999999999995</v>
      </c>
      <c r="H5" s="50">
        <v>18000</v>
      </c>
      <c r="I5" s="22">
        <f t="shared" ref="I5:I19" si="5">E5+F5+H5</f>
        <v>98055</v>
      </c>
      <c r="J5" s="57">
        <f t="shared" si="0"/>
        <v>18000</v>
      </c>
      <c r="K5" s="12">
        <f>D5-(E5+F5+H5)</f>
        <v>263965.5</v>
      </c>
      <c r="L5" s="25">
        <f t="shared" si="4"/>
        <v>98668.93</v>
      </c>
      <c r="M5" s="25">
        <f t="shared" si="2"/>
        <v>263351.57</v>
      </c>
      <c r="N5" s="26">
        <f t="shared" si="3"/>
        <v>0.1758188056280019</v>
      </c>
      <c r="O5" s="58">
        <f t="shared" si="1"/>
        <v>0.7274493295269191</v>
      </c>
    </row>
    <row r="6" spans="1:15" ht="16.5" thickBot="1" x14ac:dyDescent="0.3">
      <c r="A6" s="21" t="s">
        <v>19</v>
      </c>
      <c r="B6" s="28">
        <v>719838</v>
      </c>
      <c r="C6" s="28">
        <v>579838</v>
      </c>
      <c r="D6" s="28">
        <v>140000</v>
      </c>
      <c r="E6" s="22">
        <v>69822</v>
      </c>
      <c r="F6" s="22"/>
      <c r="G6" s="24">
        <v>1350</v>
      </c>
      <c r="H6" s="50">
        <v>18000</v>
      </c>
      <c r="I6" s="22">
        <f t="shared" si="5"/>
        <v>87822</v>
      </c>
      <c r="J6" s="57">
        <f t="shared" si="0"/>
        <v>18000</v>
      </c>
      <c r="K6" s="12">
        <f>D6-(E6+F6+H6)</f>
        <v>52178</v>
      </c>
      <c r="L6" s="25">
        <f t="shared" si="4"/>
        <v>89172</v>
      </c>
      <c r="M6" s="25">
        <f t="shared" si="2"/>
        <v>50828</v>
      </c>
      <c r="N6" s="26">
        <f t="shared" si="3"/>
        <v>0.12387787252131729</v>
      </c>
      <c r="O6" s="58">
        <f t="shared" si="1"/>
        <v>0.36305714285714286</v>
      </c>
    </row>
    <row r="7" spans="1:15" ht="16.5" thickBot="1" x14ac:dyDescent="0.3">
      <c r="A7" s="21" t="s">
        <v>7</v>
      </c>
      <c r="B7" s="22">
        <v>244973.19</v>
      </c>
      <c r="C7" s="22">
        <v>163573.19</v>
      </c>
      <c r="D7" s="22">
        <v>81400</v>
      </c>
      <c r="E7" s="22">
        <v>56430</v>
      </c>
      <c r="F7" s="35">
        <v>135000</v>
      </c>
      <c r="G7" s="24"/>
      <c r="H7" s="50">
        <v>18000</v>
      </c>
      <c r="I7" s="22">
        <f>E7+F7+H7</f>
        <v>209430</v>
      </c>
      <c r="J7" s="57">
        <f>H7+F7</f>
        <v>153000</v>
      </c>
      <c r="K7" s="59">
        <f t="shared" ref="K7:K18" si="6">D7-(E7+F7+H7)</f>
        <v>-128030</v>
      </c>
      <c r="L7" s="25">
        <f t="shared" si="4"/>
        <v>209430</v>
      </c>
      <c r="M7" s="60">
        <f t="shared" si="2"/>
        <v>-128030</v>
      </c>
      <c r="N7" s="26">
        <f t="shared" si="3"/>
        <v>0.85490987809727259</v>
      </c>
      <c r="O7" s="61">
        <f t="shared" si="1"/>
        <v>-1.5728501228501228</v>
      </c>
    </row>
    <row r="8" spans="1:15" ht="16.5" thickBot="1" x14ac:dyDescent="0.3">
      <c r="A8" s="21" t="s">
        <v>15</v>
      </c>
      <c r="B8" s="22">
        <v>378840</v>
      </c>
      <c r="C8" s="22">
        <v>200519.15</v>
      </c>
      <c r="D8" s="22">
        <v>178320.85</v>
      </c>
      <c r="E8" s="22">
        <v>30411</v>
      </c>
      <c r="F8" s="29">
        <v>3422.15</v>
      </c>
      <c r="G8" s="30">
        <v>5783.95</v>
      </c>
      <c r="H8" s="50">
        <v>18000</v>
      </c>
      <c r="I8" s="22">
        <f>E8+F8+H8</f>
        <v>51833.15</v>
      </c>
      <c r="J8" s="57">
        <f t="shared" si="0"/>
        <v>21422.15</v>
      </c>
      <c r="K8" s="12">
        <f t="shared" si="6"/>
        <v>126487.70000000001</v>
      </c>
      <c r="L8" s="25">
        <f t="shared" si="4"/>
        <v>57617.1</v>
      </c>
      <c r="M8" s="25">
        <f t="shared" si="2"/>
        <v>120703.75</v>
      </c>
      <c r="N8" s="26">
        <f t="shared" si="3"/>
        <v>0.15208821666138739</v>
      </c>
      <c r="O8" s="58">
        <f t="shared" si="1"/>
        <v>0.67689084030274638</v>
      </c>
    </row>
    <row r="9" spans="1:15" ht="16.5" thickBot="1" x14ac:dyDescent="0.3">
      <c r="A9" s="21" t="s">
        <v>23</v>
      </c>
      <c r="B9" s="22">
        <v>325618</v>
      </c>
      <c r="C9" s="22">
        <v>136680</v>
      </c>
      <c r="D9" s="22">
        <v>188938</v>
      </c>
      <c r="E9" s="23">
        <v>27000</v>
      </c>
      <c r="F9" s="26"/>
      <c r="G9" s="31"/>
      <c r="H9" s="50">
        <v>18000</v>
      </c>
      <c r="I9" s="22">
        <f t="shared" si="5"/>
        <v>45000</v>
      </c>
      <c r="J9" s="57">
        <f t="shared" si="0"/>
        <v>18000</v>
      </c>
      <c r="K9" s="12">
        <f t="shared" si="6"/>
        <v>143938</v>
      </c>
      <c r="L9" s="25">
        <f t="shared" si="4"/>
        <v>45000</v>
      </c>
      <c r="M9" s="25">
        <f t="shared" si="2"/>
        <v>143938</v>
      </c>
      <c r="N9" s="26">
        <f t="shared" si="3"/>
        <v>0.1381987482264494</v>
      </c>
      <c r="O9" s="58">
        <f t="shared" si="1"/>
        <v>0.76182663095830383</v>
      </c>
    </row>
    <row r="10" spans="1:15" ht="16.5" thickBot="1" x14ac:dyDescent="0.3">
      <c r="A10" s="21" t="s">
        <v>16</v>
      </c>
      <c r="B10" s="22">
        <v>187295.39</v>
      </c>
      <c r="C10" s="22">
        <v>63937.78</v>
      </c>
      <c r="D10" s="22">
        <v>123357.61</v>
      </c>
      <c r="E10" s="22">
        <v>13500</v>
      </c>
      <c r="F10" s="29">
        <v>1080</v>
      </c>
      <c r="G10" s="24">
        <v>332.98</v>
      </c>
      <c r="H10" s="50">
        <v>18000</v>
      </c>
      <c r="I10" s="22">
        <f t="shared" si="5"/>
        <v>32580</v>
      </c>
      <c r="J10" s="57">
        <f t="shared" si="0"/>
        <v>19080</v>
      </c>
      <c r="K10" s="12">
        <f t="shared" si="6"/>
        <v>90777.61</v>
      </c>
      <c r="L10" s="25">
        <f t="shared" si="4"/>
        <v>32912.979999999996</v>
      </c>
      <c r="M10" s="25">
        <f t="shared" si="2"/>
        <v>90444.63</v>
      </c>
      <c r="N10" s="26">
        <f t="shared" si="3"/>
        <v>0.17572765672449275</v>
      </c>
      <c r="O10" s="58">
        <f t="shared" si="1"/>
        <v>0.73319051820151193</v>
      </c>
    </row>
    <row r="11" spans="1:15" ht="16.5" thickBot="1" x14ac:dyDescent="0.3">
      <c r="A11" s="21" t="s">
        <v>18</v>
      </c>
      <c r="B11" s="22">
        <v>191129</v>
      </c>
      <c r="C11" s="22">
        <v>1918</v>
      </c>
      <c r="D11" s="22">
        <v>189211</v>
      </c>
      <c r="E11" s="22">
        <v>12352.5</v>
      </c>
      <c r="F11" s="22"/>
      <c r="G11" s="24">
        <v>3759.49</v>
      </c>
      <c r="H11" s="50">
        <v>18000</v>
      </c>
      <c r="I11" s="22">
        <f t="shared" si="5"/>
        <v>30352.5</v>
      </c>
      <c r="J11" s="57">
        <f t="shared" si="0"/>
        <v>18000</v>
      </c>
      <c r="K11" s="12">
        <f t="shared" si="6"/>
        <v>158858.5</v>
      </c>
      <c r="L11" s="25">
        <f t="shared" si="4"/>
        <v>34111.99</v>
      </c>
      <c r="M11" s="25">
        <f t="shared" si="2"/>
        <v>155099.01</v>
      </c>
      <c r="N11" s="26">
        <f t="shared" si="3"/>
        <v>0.17847626472173242</v>
      </c>
      <c r="O11" s="58">
        <f t="shared" si="1"/>
        <v>0.81971455147956518</v>
      </c>
    </row>
    <row r="12" spans="1:15" ht="16.5" thickBot="1" x14ac:dyDescent="0.3">
      <c r="A12" s="21" t="s">
        <v>22</v>
      </c>
      <c r="B12" s="22">
        <v>346383</v>
      </c>
      <c r="C12" s="32">
        <v>158484.78</v>
      </c>
      <c r="D12" s="32">
        <v>187898.22</v>
      </c>
      <c r="E12" s="22">
        <v>10305</v>
      </c>
      <c r="F12" s="22"/>
      <c r="G12" s="27"/>
      <c r="H12" s="50">
        <v>18000</v>
      </c>
      <c r="I12" s="22">
        <f t="shared" si="5"/>
        <v>28305</v>
      </c>
      <c r="J12" s="57">
        <f t="shared" si="0"/>
        <v>18000</v>
      </c>
      <c r="K12" s="12">
        <f t="shared" si="6"/>
        <v>159593.22</v>
      </c>
      <c r="L12" s="25">
        <f t="shared" si="4"/>
        <v>28305</v>
      </c>
      <c r="M12" s="25">
        <f t="shared" si="2"/>
        <v>159593.22</v>
      </c>
      <c r="N12" s="26">
        <f>L12/B12</f>
        <v>8.1715904071504669E-2</v>
      </c>
      <c r="O12" s="58">
        <f t="shared" si="1"/>
        <v>0.84935993539481114</v>
      </c>
    </row>
    <row r="13" spans="1:15" ht="16.5" thickBot="1" x14ac:dyDescent="0.3">
      <c r="A13" s="21" t="s">
        <v>13</v>
      </c>
      <c r="B13" s="22">
        <v>219105</v>
      </c>
      <c r="C13" s="22">
        <v>78510</v>
      </c>
      <c r="D13" s="22">
        <v>140595</v>
      </c>
      <c r="E13" s="22">
        <v>9540</v>
      </c>
      <c r="F13" s="33">
        <v>2340</v>
      </c>
      <c r="G13" s="24">
        <v>8656.42</v>
      </c>
      <c r="H13" s="50">
        <v>18000</v>
      </c>
      <c r="I13" s="22">
        <f>E13+F13+H13</f>
        <v>29880</v>
      </c>
      <c r="J13" s="57">
        <f t="shared" si="0"/>
        <v>20340</v>
      </c>
      <c r="K13" s="12">
        <f t="shared" si="6"/>
        <v>110715</v>
      </c>
      <c r="L13" s="25">
        <f t="shared" si="4"/>
        <v>38536.42</v>
      </c>
      <c r="M13" s="25">
        <f t="shared" si="2"/>
        <v>102058.58</v>
      </c>
      <c r="N13" s="26">
        <f t="shared" si="3"/>
        <v>0.1758810615914744</v>
      </c>
      <c r="O13" s="58">
        <f t="shared" si="1"/>
        <v>0.72590476190476194</v>
      </c>
    </row>
    <row r="14" spans="1:15" ht="16.5" thickBot="1" x14ac:dyDescent="0.3">
      <c r="A14" s="21" t="s">
        <v>24</v>
      </c>
      <c r="B14" s="25">
        <v>286300</v>
      </c>
      <c r="C14" s="25">
        <v>144000</v>
      </c>
      <c r="D14" s="22">
        <v>142300</v>
      </c>
      <c r="E14" s="23">
        <v>6300</v>
      </c>
      <c r="F14" s="26"/>
      <c r="G14" s="31"/>
      <c r="H14" s="50">
        <v>18000</v>
      </c>
      <c r="I14" s="22">
        <f t="shared" si="5"/>
        <v>24300</v>
      </c>
      <c r="J14" s="57">
        <f t="shared" si="0"/>
        <v>18000</v>
      </c>
      <c r="K14" s="12">
        <f t="shared" si="6"/>
        <v>118000</v>
      </c>
      <c r="L14" s="25">
        <f t="shared" si="4"/>
        <v>24300</v>
      </c>
      <c r="M14" s="25">
        <f t="shared" si="2"/>
        <v>118000</v>
      </c>
      <c r="N14" s="26">
        <f t="shared" si="3"/>
        <v>8.4876004191407617E-2</v>
      </c>
      <c r="O14" s="58">
        <f t="shared" si="1"/>
        <v>0.82923401264933239</v>
      </c>
    </row>
    <row r="15" spans="1:15" ht="16.5" thickBot="1" x14ac:dyDescent="0.3">
      <c r="A15" s="21" t="s">
        <v>6</v>
      </c>
      <c r="B15" s="22">
        <v>253491.36</v>
      </c>
      <c r="C15" s="22">
        <v>162491.35999999999</v>
      </c>
      <c r="D15" s="22">
        <v>91000</v>
      </c>
      <c r="E15" s="22">
        <v>4162.5</v>
      </c>
      <c r="F15" s="22"/>
      <c r="G15" s="24"/>
      <c r="H15" s="50">
        <v>18000</v>
      </c>
      <c r="I15" s="22">
        <f t="shared" si="5"/>
        <v>22162.5</v>
      </c>
      <c r="J15" s="57">
        <f t="shared" si="0"/>
        <v>18000</v>
      </c>
      <c r="K15" s="12">
        <f t="shared" si="6"/>
        <v>68837.5</v>
      </c>
      <c r="L15" s="25">
        <f t="shared" si="4"/>
        <v>22162.5</v>
      </c>
      <c r="M15" s="25">
        <f t="shared" si="2"/>
        <v>68837.5</v>
      </c>
      <c r="N15" s="26">
        <f t="shared" si="3"/>
        <v>8.7429015332120205E-2</v>
      </c>
      <c r="O15" s="58">
        <f t="shared" si="1"/>
        <v>0.75645604395604393</v>
      </c>
    </row>
    <row r="16" spans="1:15" ht="16.5" thickBot="1" x14ac:dyDescent="0.3">
      <c r="A16" s="21" t="s">
        <v>12</v>
      </c>
      <c r="B16" s="22">
        <v>343749.19</v>
      </c>
      <c r="C16" s="22">
        <v>120961.03</v>
      </c>
      <c r="D16" s="22">
        <v>222788.16</v>
      </c>
      <c r="E16" s="22">
        <v>4080.18</v>
      </c>
      <c r="F16" s="22"/>
      <c r="G16" s="24">
        <v>1112.9100000000001</v>
      </c>
      <c r="H16" s="50">
        <v>18000</v>
      </c>
      <c r="I16" s="22">
        <f t="shared" si="5"/>
        <v>22080.18</v>
      </c>
      <c r="J16" s="57">
        <f t="shared" si="0"/>
        <v>18000</v>
      </c>
      <c r="K16" s="12">
        <f t="shared" si="6"/>
        <v>200707.98</v>
      </c>
      <c r="L16" s="25">
        <f t="shared" si="4"/>
        <v>23193.09</v>
      </c>
      <c r="M16" s="25">
        <f t="shared" si="2"/>
        <v>199595.07</v>
      </c>
      <c r="N16" s="26">
        <f t="shared" si="3"/>
        <v>6.7470966258858678E-2</v>
      </c>
      <c r="O16" s="58">
        <f t="shared" si="1"/>
        <v>0.8958962181832284</v>
      </c>
    </row>
    <row r="17" spans="1:15" ht="16.5" thickBot="1" x14ac:dyDescent="0.3">
      <c r="A17" s="21" t="s">
        <v>21</v>
      </c>
      <c r="B17" s="22">
        <v>71740</v>
      </c>
      <c r="C17" s="22">
        <v>59040</v>
      </c>
      <c r="D17" s="22">
        <v>12700</v>
      </c>
      <c r="E17" s="22">
        <v>3600</v>
      </c>
      <c r="F17" s="22"/>
      <c r="G17" s="24">
        <v>85543.89</v>
      </c>
      <c r="H17" s="50">
        <v>18000</v>
      </c>
      <c r="I17" s="22">
        <f>E17+F17+H17</f>
        <v>21600</v>
      </c>
      <c r="J17" s="57">
        <f t="shared" si="0"/>
        <v>18000</v>
      </c>
      <c r="K17" s="59">
        <f t="shared" si="6"/>
        <v>-8900</v>
      </c>
      <c r="L17" s="25">
        <f>E17+F17+G17+H17</f>
        <v>107143.89</v>
      </c>
      <c r="M17" s="60">
        <f>D17-L17</f>
        <v>-94443.89</v>
      </c>
      <c r="N17" s="26">
        <f t="shared" si="3"/>
        <v>1.4935027878449958</v>
      </c>
      <c r="O17" s="61">
        <f t="shared" si="1"/>
        <v>-7.4365267716535435</v>
      </c>
    </row>
    <row r="18" spans="1:15" ht="16.5" thickBot="1" x14ac:dyDescent="0.3">
      <c r="A18" s="21" t="s">
        <v>9</v>
      </c>
      <c r="B18" s="22">
        <v>267864</v>
      </c>
      <c r="C18" s="32">
        <f>B18-D18</f>
        <v>75360</v>
      </c>
      <c r="D18" s="32">
        <v>192504</v>
      </c>
      <c r="E18" s="22">
        <v>1800</v>
      </c>
      <c r="F18" s="22"/>
      <c r="G18" s="24"/>
      <c r="H18" s="50">
        <v>18000</v>
      </c>
      <c r="I18" s="22">
        <f t="shared" si="5"/>
        <v>19800</v>
      </c>
      <c r="J18" s="57">
        <f t="shared" si="0"/>
        <v>18000</v>
      </c>
      <c r="K18" s="62">
        <f t="shared" si="6"/>
        <v>172704</v>
      </c>
      <c r="L18" s="25">
        <f t="shared" si="4"/>
        <v>19800</v>
      </c>
      <c r="M18" s="25">
        <f t="shared" si="2"/>
        <v>172704</v>
      </c>
      <c r="N18" s="26">
        <f t="shared" si="3"/>
        <v>7.391810769644297E-2</v>
      </c>
      <c r="O18" s="58">
        <f t="shared" si="1"/>
        <v>0.89714499438972695</v>
      </c>
    </row>
    <row r="19" spans="1:15" ht="16.5" thickBot="1" x14ac:dyDescent="0.3">
      <c r="A19" s="21" t="s">
        <v>20</v>
      </c>
      <c r="B19" s="22">
        <v>220415.3</v>
      </c>
      <c r="C19" s="22">
        <v>186815.3</v>
      </c>
      <c r="D19" s="22">
        <v>33600</v>
      </c>
      <c r="E19" s="22">
        <v>1800</v>
      </c>
      <c r="F19" s="22"/>
      <c r="G19" s="24"/>
      <c r="H19" s="50">
        <v>18000</v>
      </c>
      <c r="I19" s="22">
        <f t="shared" si="5"/>
        <v>19800</v>
      </c>
      <c r="J19" s="57">
        <f t="shared" si="0"/>
        <v>18000</v>
      </c>
      <c r="K19" s="12">
        <f>D19-(E19+F19+H19)</f>
        <v>13800</v>
      </c>
      <c r="L19" s="25">
        <f t="shared" si="4"/>
        <v>19800</v>
      </c>
      <c r="M19" s="25">
        <f t="shared" si="2"/>
        <v>13800</v>
      </c>
      <c r="N19" s="26">
        <f t="shared" si="3"/>
        <v>8.9830424657453459E-2</v>
      </c>
      <c r="O19" s="58">
        <f t="shared" si="1"/>
        <v>0.4107142857142857</v>
      </c>
    </row>
    <row r="20" spans="1:15" ht="16.5" thickBot="1" x14ac:dyDescent="0.3">
      <c r="A20" s="21" t="s">
        <v>2</v>
      </c>
      <c r="B20" s="22">
        <v>407643.72</v>
      </c>
      <c r="C20" s="22">
        <v>257643.72</v>
      </c>
      <c r="D20" s="22">
        <v>150000</v>
      </c>
      <c r="E20" s="22">
        <v>450</v>
      </c>
      <c r="F20" s="22"/>
      <c r="G20" s="24"/>
      <c r="H20" s="50">
        <v>18000</v>
      </c>
      <c r="I20" s="22">
        <f>E20+F20+H20</f>
        <v>18450</v>
      </c>
      <c r="J20" s="57">
        <f t="shared" si="0"/>
        <v>18000</v>
      </c>
      <c r="K20" s="12">
        <f>D20-(E20+F20+H20)</f>
        <v>131550</v>
      </c>
      <c r="L20" s="25">
        <f t="shared" si="4"/>
        <v>18450</v>
      </c>
      <c r="M20" s="25">
        <f t="shared" si="2"/>
        <v>131550</v>
      </c>
      <c r="N20" s="26">
        <f t="shared" si="3"/>
        <v>4.5260110961601471E-2</v>
      </c>
      <c r="O20" s="58">
        <f t="shared" si="1"/>
        <v>0.877</v>
      </c>
    </row>
    <row r="21" spans="1:15" ht="16.5" thickBot="1" x14ac:dyDescent="0.3">
      <c r="A21" s="63" t="s">
        <v>26</v>
      </c>
      <c r="B21" s="64">
        <f>C21+D21</f>
        <v>215732.25</v>
      </c>
      <c r="C21" s="64">
        <v>71800.55</v>
      </c>
      <c r="D21" s="64">
        <v>143931.70000000001</v>
      </c>
      <c r="E21" s="64"/>
      <c r="F21" s="65">
        <v>117000</v>
      </c>
      <c r="G21" s="66"/>
      <c r="H21" s="50">
        <v>18000</v>
      </c>
      <c r="I21" s="64">
        <f>E21+F21+H21</f>
        <v>135000</v>
      </c>
      <c r="J21" s="67">
        <f t="shared" si="0"/>
        <v>135000</v>
      </c>
      <c r="K21" s="68">
        <f>D21-(E21+F21+H21)</f>
        <v>8931.7000000000116</v>
      </c>
      <c r="L21" s="69">
        <f t="shared" si="4"/>
        <v>135000</v>
      </c>
      <c r="M21" s="69">
        <f t="shared" si="2"/>
        <v>8931.7000000000116</v>
      </c>
      <c r="N21" s="70">
        <f>L21/B21</f>
        <v>0.62577570112952519</v>
      </c>
      <c r="O21" s="71">
        <f>M21/D21</f>
        <v>6.2055127536185639E-2</v>
      </c>
    </row>
    <row r="22" spans="1:15" ht="16.5" thickBot="1" x14ac:dyDescent="0.3">
      <c r="A22" s="41" t="s">
        <v>27</v>
      </c>
      <c r="B22" s="42">
        <f t="shared" ref="B22:H22" si="7">SUM(B2:B21)</f>
        <v>6411399.2700000005</v>
      </c>
      <c r="C22" s="42">
        <f t="shared" si="7"/>
        <v>3082711.7199999993</v>
      </c>
      <c r="D22" s="42">
        <f t="shared" si="7"/>
        <v>3328687.5500000007</v>
      </c>
      <c r="E22" s="42">
        <f t="shared" si="7"/>
        <v>626871.18000000005</v>
      </c>
      <c r="F22" s="42">
        <f>SUM(F2:F21)</f>
        <v>258842.15</v>
      </c>
      <c r="G22" s="42">
        <f t="shared" si="7"/>
        <v>117807.16</v>
      </c>
      <c r="H22" s="42">
        <f t="shared" si="7"/>
        <v>360000</v>
      </c>
      <c r="I22" s="42">
        <f>H22+F22+E22</f>
        <v>1245713.33</v>
      </c>
      <c r="J22" s="43">
        <f>SUM(J2:J21)</f>
        <v>618842.15</v>
      </c>
      <c r="K22" s="44"/>
      <c r="L22" s="45">
        <f>SUM(L2:L21)</f>
        <v>1363520.49</v>
      </c>
      <c r="M22" s="3"/>
    </row>
    <row r="23" spans="1:15" ht="15.75" thickBot="1" x14ac:dyDescent="0.3"/>
    <row r="24" spans="1:15" ht="30" x14ac:dyDescent="0.25">
      <c r="D24" s="4" t="s">
        <v>28</v>
      </c>
      <c r="E24" s="5" t="s">
        <v>29</v>
      </c>
      <c r="F24" s="5" t="s">
        <v>30</v>
      </c>
      <c r="G24" s="5" t="s">
        <v>31</v>
      </c>
      <c r="H24" s="5" t="s">
        <v>32</v>
      </c>
      <c r="I24" s="6" t="s">
        <v>33</v>
      </c>
      <c r="K24" s="2">
        <f>E17+G17</f>
        <v>89143.89</v>
      </c>
    </row>
    <row r="25" spans="1:15" ht="19.5" thickBot="1" x14ac:dyDescent="0.35">
      <c r="D25" s="7">
        <v>975072.5</v>
      </c>
      <c r="E25" s="8">
        <f>E9+E14+E2</f>
        <v>161460</v>
      </c>
      <c r="F25" s="8">
        <f>F21+F13+F10+F8+F7</f>
        <v>258842.15</v>
      </c>
      <c r="G25" s="8">
        <f>D25-E25-F25</f>
        <v>554770.35</v>
      </c>
      <c r="H25" s="8">
        <v>380000</v>
      </c>
      <c r="I25" s="9">
        <f>G25-H25</f>
        <v>174770.34999999998</v>
      </c>
    </row>
    <row r="27" spans="1:15" x14ac:dyDescent="0.25">
      <c r="C27" s="2"/>
      <c r="G27" s="11"/>
      <c r="H27" s="1"/>
      <c r="I27" s="11"/>
      <c r="J27">
        <v>981720119</v>
      </c>
    </row>
    <row r="28" spans="1:15" x14ac:dyDescent="0.25">
      <c r="F28" s="2"/>
      <c r="G28" s="13"/>
      <c r="H28" s="2"/>
      <c r="L28">
        <v>150</v>
      </c>
      <c r="M28">
        <v>8</v>
      </c>
    </row>
    <row r="29" spans="1:15" x14ac:dyDescent="0.25">
      <c r="G29" s="1"/>
      <c r="K29" t="s">
        <v>50</v>
      </c>
    </row>
    <row r="30" spans="1:15" x14ac:dyDescent="0.25">
      <c r="E30" s="1"/>
      <c r="G30" s="1"/>
    </row>
    <row r="31" spans="1:15" x14ac:dyDescent="0.25">
      <c r="E31" s="11"/>
      <c r="F31" s="2"/>
      <c r="G31" s="1"/>
      <c r="H31" s="1"/>
    </row>
    <row r="32" spans="1:15" x14ac:dyDescent="0.25">
      <c r="G32" s="1"/>
      <c r="H32" s="18"/>
      <c r="I32" s="2"/>
    </row>
    <row r="33" spans="7:8" x14ac:dyDescent="0.25">
      <c r="G33" s="1"/>
      <c r="H33" s="1"/>
    </row>
  </sheetData>
  <sortState ref="A2:J21">
    <sortCondition descending="1" ref="E2:E2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7" workbookViewId="0">
      <pane xSplit="1" topLeftCell="B1" activePane="topRight" state="frozen"/>
      <selection pane="topRight" activeCell="N13" sqref="N13"/>
    </sheetView>
  </sheetViews>
  <sheetFormatPr defaultRowHeight="15" x14ac:dyDescent="0.25"/>
  <cols>
    <col min="1" max="1" width="27.5703125" bestFit="1" customWidth="1"/>
    <col min="2" max="4" width="17.7109375" bestFit="1" customWidth="1"/>
    <col min="5" max="6" width="15.85546875" bestFit="1" customWidth="1"/>
    <col min="7" max="7" width="14.28515625" bestFit="1" customWidth="1"/>
    <col min="8" max="8" width="17.28515625" customWidth="1"/>
    <col min="9" max="9" width="14.28515625" bestFit="1" customWidth="1"/>
    <col min="10" max="10" width="13.5703125" style="101" customWidth="1"/>
    <col min="11" max="11" width="13.7109375" style="17" bestFit="1" customWidth="1"/>
    <col min="12" max="12" width="14.28515625" bestFit="1" customWidth="1"/>
    <col min="13" max="13" width="19.7109375" bestFit="1" customWidth="1"/>
    <col min="14" max="14" width="19" bestFit="1" customWidth="1"/>
    <col min="15" max="16" width="19.7109375" bestFit="1" customWidth="1"/>
  </cols>
  <sheetData>
    <row r="1" spans="1:14" ht="45.75" thickBot="1" x14ac:dyDescent="0.3">
      <c r="A1" s="14" t="s">
        <v>0</v>
      </c>
      <c r="B1" s="40" t="s">
        <v>34</v>
      </c>
      <c r="C1" s="40" t="s">
        <v>8</v>
      </c>
      <c r="D1" s="40" t="s">
        <v>53</v>
      </c>
      <c r="E1" s="36" t="s">
        <v>3</v>
      </c>
      <c r="F1" s="36" t="s">
        <v>14</v>
      </c>
      <c r="G1" s="97" t="s">
        <v>52</v>
      </c>
      <c r="H1" s="97" t="s">
        <v>54</v>
      </c>
      <c r="I1" s="97" t="s">
        <v>55</v>
      </c>
      <c r="J1" s="100" t="s">
        <v>57</v>
      </c>
      <c r="K1" s="105" t="s">
        <v>56</v>
      </c>
      <c r="L1" s="107" t="s">
        <v>58</v>
      </c>
      <c r="M1" s="36" t="s">
        <v>14</v>
      </c>
      <c r="N1" t="s">
        <v>59</v>
      </c>
    </row>
    <row r="2" spans="1:14" x14ac:dyDescent="0.25">
      <c r="A2" s="46" t="s">
        <v>17</v>
      </c>
      <c r="B2" s="47">
        <v>314971.40000000002</v>
      </c>
      <c r="C2" s="47">
        <v>173892.68</v>
      </c>
      <c r="D2" s="47">
        <v>141078.72</v>
      </c>
      <c r="E2" s="48">
        <v>128160</v>
      </c>
      <c r="F2" s="47"/>
      <c r="G2" s="28">
        <v>6000</v>
      </c>
      <c r="H2" s="2">
        <f>B2-(E2+F2)</f>
        <v>186811.40000000002</v>
      </c>
      <c r="I2" s="2">
        <f>H2*0.0217</f>
        <v>4053.8073800000006</v>
      </c>
      <c r="J2" s="102">
        <f>((E2+F2)/B2)*100</f>
        <v>40.689408625672044</v>
      </c>
      <c r="K2" s="17">
        <f>J2*417.13</f>
        <v>16972.77302002658</v>
      </c>
      <c r="L2" s="2">
        <f>G2+I2+K2</f>
        <v>27026.580400026578</v>
      </c>
      <c r="M2" s="47"/>
      <c r="N2" s="2">
        <f>L2+M2</f>
        <v>27026.580400026578</v>
      </c>
    </row>
    <row r="3" spans="1:14" x14ac:dyDescent="0.25">
      <c r="A3" s="21" t="s">
        <v>25</v>
      </c>
      <c r="B3" s="25">
        <v>411413.79</v>
      </c>
      <c r="C3" s="25">
        <v>209870</v>
      </c>
      <c r="D3" s="22">
        <v>201543.79</v>
      </c>
      <c r="E3" s="22">
        <v>83560.5</v>
      </c>
      <c r="F3" s="26"/>
      <c r="G3" s="28">
        <v>6000</v>
      </c>
      <c r="H3" s="2">
        <f t="shared" ref="H3:H21" si="0">B3-(E3+F3)</f>
        <v>327853.28999999998</v>
      </c>
      <c r="I3" s="2">
        <f t="shared" ref="I3:I21" si="1">H3*0.0217</f>
        <v>7114.4163929999995</v>
      </c>
      <c r="J3" s="102">
        <f t="shared" ref="J3:J21" si="2">((E3+F3)/B3)*100</f>
        <v>20.310573449664876</v>
      </c>
      <c r="K3" s="17">
        <f t="shared" ref="K3:K21" si="3">J3*417.13</f>
        <v>8472.1495030587103</v>
      </c>
      <c r="L3" s="2">
        <f t="shared" ref="L3:L21" si="4">G3+I3+K3</f>
        <v>21586.56589605871</v>
      </c>
      <c r="M3" s="26"/>
      <c r="N3" s="2">
        <f t="shared" ref="N3:N21" si="5">L3+M3</f>
        <v>21586.56589605871</v>
      </c>
    </row>
    <row r="4" spans="1:14" x14ac:dyDescent="0.25">
      <c r="A4" s="21" t="s">
        <v>11</v>
      </c>
      <c r="B4" s="22">
        <v>443700</v>
      </c>
      <c r="C4" s="28">
        <v>38200</v>
      </c>
      <c r="D4" s="28">
        <v>405500</v>
      </c>
      <c r="E4" s="22">
        <v>83542.5</v>
      </c>
      <c r="F4" s="22"/>
      <c r="G4" s="28">
        <v>6000</v>
      </c>
      <c r="H4" s="2">
        <f t="shared" si="0"/>
        <v>360157.5</v>
      </c>
      <c r="I4" s="2">
        <f t="shared" si="1"/>
        <v>7815.4177500000005</v>
      </c>
      <c r="J4" s="102">
        <f t="shared" si="2"/>
        <v>18.828600405679513</v>
      </c>
      <c r="K4" s="17">
        <f t="shared" si="3"/>
        <v>7853.974087221095</v>
      </c>
      <c r="L4" s="2">
        <f t="shared" si="4"/>
        <v>21669.391837221097</v>
      </c>
      <c r="M4" s="22"/>
      <c r="N4" s="2">
        <f t="shared" si="5"/>
        <v>21669.391837221097</v>
      </c>
    </row>
    <row r="5" spans="1:14" x14ac:dyDescent="0.25">
      <c r="A5" s="21" t="s">
        <v>10</v>
      </c>
      <c r="B5" s="22">
        <v>561196.68000000005</v>
      </c>
      <c r="C5" s="22">
        <v>199176.18</v>
      </c>
      <c r="D5" s="22">
        <v>362020.5</v>
      </c>
      <c r="E5" s="22">
        <v>80055</v>
      </c>
      <c r="F5" s="22"/>
      <c r="G5" s="28">
        <v>6000</v>
      </c>
      <c r="H5" s="2">
        <f t="shared" si="0"/>
        <v>481141.68000000005</v>
      </c>
      <c r="I5" s="2">
        <f t="shared" si="1"/>
        <v>10440.774456000001</v>
      </c>
      <c r="J5" s="102">
        <f t="shared" si="2"/>
        <v>14.265052316417837</v>
      </c>
      <c r="K5" s="17">
        <f t="shared" si="3"/>
        <v>5950.3812727473723</v>
      </c>
      <c r="L5" s="2">
        <f t="shared" si="4"/>
        <v>22391.15572874737</v>
      </c>
      <c r="M5" s="22"/>
      <c r="N5" s="2">
        <f t="shared" si="5"/>
        <v>22391.15572874737</v>
      </c>
    </row>
    <row r="6" spans="1:14" x14ac:dyDescent="0.25">
      <c r="A6" s="21" t="s">
        <v>19</v>
      </c>
      <c r="B6" s="28">
        <v>719838</v>
      </c>
      <c r="C6" s="28">
        <v>579838</v>
      </c>
      <c r="D6" s="28">
        <v>140000</v>
      </c>
      <c r="E6" s="22">
        <v>69822</v>
      </c>
      <c r="F6" s="22"/>
      <c r="G6" s="28">
        <v>6000</v>
      </c>
      <c r="H6" s="2">
        <f t="shared" si="0"/>
        <v>650016</v>
      </c>
      <c r="I6" s="2">
        <f t="shared" si="1"/>
        <v>14105.3472</v>
      </c>
      <c r="J6" s="102">
        <f t="shared" si="2"/>
        <v>9.6996824285464225</v>
      </c>
      <c r="K6" s="17">
        <f t="shared" si="3"/>
        <v>4046.0285314195694</v>
      </c>
      <c r="L6" s="2">
        <f t="shared" si="4"/>
        <v>24151.375731419568</v>
      </c>
      <c r="M6" s="22"/>
      <c r="N6" s="2">
        <f t="shared" si="5"/>
        <v>24151.375731419568</v>
      </c>
    </row>
    <row r="7" spans="1:14" x14ac:dyDescent="0.25">
      <c r="A7" s="21" t="s">
        <v>7</v>
      </c>
      <c r="B7" s="22">
        <v>244973.19</v>
      </c>
      <c r="C7" s="22">
        <v>163573.19</v>
      </c>
      <c r="D7" s="22">
        <v>81400</v>
      </c>
      <c r="E7" s="22">
        <v>56430</v>
      </c>
      <c r="F7" s="35">
        <v>135000</v>
      </c>
      <c r="G7" s="28">
        <v>6000</v>
      </c>
      <c r="H7" s="2">
        <f t="shared" si="0"/>
        <v>53543.19</v>
      </c>
      <c r="I7" s="2">
        <f t="shared" si="1"/>
        <v>1161.8872230000002</v>
      </c>
      <c r="J7" s="102">
        <f t="shared" si="2"/>
        <v>78.143244981216114</v>
      </c>
      <c r="K7" s="17">
        <f t="shared" si="3"/>
        <v>32595.891779014677</v>
      </c>
      <c r="L7" s="2">
        <f>G7+I7+K7</f>
        <v>39757.779002014679</v>
      </c>
      <c r="M7" s="35">
        <v>135000</v>
      </c>
      <c r="N7" s="2">
        <f t="shared" si="5"/>
        <v>174757.77900201466</v>
      </c>
    </row>
    <row r="8" spans="1:14" x14ac:dyDescent="0.25">
      <c r="A8" s="21" t="s">
        <v>15</v>
      </c>
      <c r="B8" s="22">
        <v>378840</v>
      </c>
      <c r="C8" s="22">
        <v>200519.15</v>
      </c>
      <c r="D8" s="22">
        <v>178320.85</v>
      </c>
      <c r="E8" s="22">
        <v>30411</v>
      </c>
      <c r="F8" s="29">
        <v>3422.15</v>
      </c>
      <c r="G8" s="28">
        <v>6000</v>
      </c>
      <c r="H8" s="2">
        <f t="shared" si="0"/>
        <v>345006.85</v>
      </c>
      <c r="I8" s="2">
        <f t="shared" si="1"/>
        <v>7486.6486449999993</v>
      </c>
      <c r="J8" s="102">
        <f t="shared" si="2"/>
        <v>8.9307227325520024</v>
      </c>
      <c r="K8" s="17">
        <f t="shared" si="3"/>
        <v>3725.2723734294168</v>
      </c>
      <c r="L8" s="2">
        <f t="shared" si="4"/>
        <v>17211.921018429417</v>
      </c>
      <c r="M8" s="29">
        <v>3422.15</v>
      </c>
      <c r="N8" s="2">
        <f t="shared" si="5"/>
        <v>20634.071018429418</v>
      </c>
    </row>
    <row r="9" spans="1:14" x14ac:dyDescent="0.25">
      <c r="A9" s="21" t="s">
        <v>23</v>
      </c>
      <c r="B9" s="22">
        <v>325618</v>
      </c>
      <c r="C9" s="22">
        <v>136680</v>
      </c>
      <c r="D9" s="22">
        <v>188938</v>
      </c>
      <c r="E9" s="23">
        <v>27000</v>
      </c>
      <c r="F9" s="26"/>
      <c r="G9" s="28">
        <v>6000</v>
      </c>
      <c r="H9" s="2">
        <f t="shared" si="0"/>
        <v>298618</v>
      </c>
      <c r="I9" s="2">
        <f t="shared" si="1"/>
        <v>6480.0106000000005</v>
      </c>
      <c r="J9" s="102">
        <f t="shared" si="2"/>
        <v>8.2919248935869625</v>
      </c>
      <c r="K9" s="17">
        <f t="shared" si="3"/>
        <v>3458.8106308619294</v>
      </c>
      <c r="L9" s="2">
        <f t="shared" si="4"/>
        <v>15938.821230861931</v>
      </c>
      <c r="M9" s="26"/>
      <c r="N9" s="2">
        <f t="shared" si="5"/>
        <v>15938.821230861931</v>
      </c>
    </row>
    <row r="10" spans="1:14" x14ac:dyDescent="0.25">
      <c r="A10" s="21" t="s">
        <v>16</v>
      </c>
      <c r="B10" s="22">
        <v>187295.39</v>
      </c>
      <c r="C10" s="22">
        <v>63937.78</v>
      </c>
      <c r="D10" s="22">
        <v>123357.61</v>
      </c>
      <c r="E10" s="22">
        <v>13500</v>
      </c>
      <c r="F10" s="29">
        <v>1080</v>
      </c>
      <c r="G10" s="28">
        <v>6000</v>
      </c>
      <c r="H10" s="2">
        <f t="shared" si="0"/>
        <v>172715.39</v>
      </c>
      <c r="I10" s="2">
        <f t="shared" si="1"/>
        <v>3747.9239630000002</v>
      </c>
      <c r="J10" s="102">
        <f t="shared" si="2"/>
        <v>7.7844948559598821</v>
      </c>
      <c r="K10" s="17">
        <f t="shared" si="3"/>
        <v>3247.1463392665455</v>
      </c>
      <c r="L10" s="2">
        <f t="shared" si="4"/>
        <v>12995.070302266548</v>
      </c>
      <c r="M10" s="29">
        <v>1080</v>
      </c>
      <c r="N10" s="2">
        <f t="shared" si="5"/>
        <v>14075.070302266548</v>
      </c>
    </row>
    <row r="11" spans="1:14" x14ac:dyDescent="0.25">
      <c r="A11" s="21" t="s">
        <v>18</v>
      </c>
      <c r="B11" s="22">
        <v>191129</v>
      </c>
      <c r="C11" s="22">
        <v>1918</v>
      </c>
      <c r="D11" s="22">
        <v>189211</v>
      </c>
      <c r="E11" s="22">
        <v>12352.5</v>
      </c>
      <c r="F11" s="22"/>
      <c r="G11" s="28">
        <v>6000</v>
      </c>
      <c r="H11" s="2">
        <f t="shared" si="0"/>
        <v>178776.5</v>
      </c>
      <c r="I11" s="2">
        <f t="shared" si="1"/>
        <v>3879.4500499999999</v>
      </c>
      <c r="J11" s="102">
        <f t="shared" si="2"/>
        <v>6.4629124831919809</v>
      </c>
      <c r="K11" s="17">
        <f t="shared" si="3"/>
        <v>2695.8746841138709</v>
      </c>
      <c r="L11" s="2">
        <f t="shared" si="4"/>
        <v>12575.32473411387</v>
      </c>
      <c r="M11" s="22"/>
      <c r="N11" s="2">
        <f t="shared" si="5"/>
        <v>12575.32473411387</v>
      </c>
    </row>
    <row r="12" spans="1:14" x14ac:dyDescent="0.25">
      <c r="A12" s="21" t="s">
        <v>22</v>
      </c>
      <c r="B12" s="22">
        <v>346383</v>
      </c>
      <c r="C12" s="32">
        <v>158484.78</v>
      </c>
      <c r="D12" s="32">
        <v>187898.22</v>
      </c>
      <c r="E12" s="22">
        <v>10305</v>
      </c>
      <c r="F12" s="22"/>
      <c r="G12" s="28">
        <v>6000</v>
      </c>
      <c r="H12" s="2">
        <f t="shared" si="0"/>
        <v>336078</v>
      </c>
      <c r="I12" s="2">
        <f t="shared" si="1"/>
        <v>7292.8926000000001</v>
      </c>
      <c r="J12" s="102">
        <f t="shared" si="2"/>
        <v>2.9750305297892794</v>
      </c>
      <c r="K12" s="17">
        <f t="shared" si="3"/>
        <v>1240.974484891002</v>
      </c>
      <c r="L12" s="2">
        <f t="shared" si="4"/>
        <v>14533.867084891001</v>
      </c>
      <c r="M12" s="22"/>
      <c r="N12" s="2">
        <f t="shared" si="5"/>
        <v>14533.867084891001</v>
      </c>
    </row>
    <row r="13" spans="1:14" x14ac:dyDescent="0.25">
      <c r="A13" s="21" t="s">
        <v>13</v>
      </c>
      <c r="B13" s="22">
        <v>219105</v>
      </c>
      <c r="C13" s="22">
        <v>78510</v>
      </c>
      <c r="D13" s="22">
        <v>140595</v>
      </c>
      <c r="E13" s="22">
        <v>9540</v>
      </c>
      <c r="F13" s="33">
        <v>2340</v>
      </c>
      <c r="G13" s="28">
        <v>6000</v>
      </c>
      <c r="H13" s="2">
        <f t="shared" si="0"/>
        <v>207225</v>
      </c>
      <c r="I13" s="2">
        <f t="shared" si="1"/>
        <v>4496.7825000000003</v>
      </c>
      <c r="J13" s="102">
        <f t="shared" si="2"/>
        <v>5.4220579174368453</v>
      </c>
      <c r="K13" s="17">
        <f t="shared" si="3"/>
        <v>2261.7030191004314</v>
      </c>
      <c r="L13" s="2">
        <f t="shared" si="4"/>
        <v>12758.485519100432</v>
      </c>
      <c r="M13" s="33">
        <v>2340</v>
      </c>
      <c r="N13" s="2">
        <f t="shared" si="5"/>
        <v>15098.485519100432</v>
      </c>
    </row>
    <row r="14" spans="1:14" x14ac:dyDescent="0.25">
      <c r="A14" s="21" t="s">
        <v>24</v>
      </c>
      <c r="B14" s="25">
        <v>286300</v>
      </c>
      <c r="C14" s="25">
        <v>144000</v>
      </c>
      <c r="D14" s="22">
        <v>142300</v>
      </c>
      <c r="E14" s="23">
        <v>6300</v>
      </c>
      <c r="F14" s="26"/>
      <c r="G14" s="28">
        <v>6000</v>
      </c>
      <c r="H14" s="2">
        <f t="shared" si="0"/>
        <v>280000</v>
      </c>
      <c r="I14" s="2">
        <f t="shared" si="1"/>
        <v>6076</v>
      </c>
      <c r="J14" s="102">
        <f t="shared" si="2"/>
        <v>2.2004889975550124</v>
      </c>
      <c r="K14" s="17">
        <f t="shared" si="3"/>
        <v>917.88997555012224</v>
      </c>
      <c r="L14" s="2">
        <f t="shared" si="4"/>
        <v>12993.889975550122</v>
      </c>
      <c r="M14" s="26"/>
      <c r="N14" s="2">
        <f t="shared" si="5"/>
        <v>12993.889975550122</v>
      </c>
    </row>
    <row r="15" spans="1:14" x14ac:dyDescent="0.25">
      <c r="A15" s="21" t="s">
        <v>6</v>
      </c>
      <c r="B15" s="22">
        <v>253491.36</v>
      </c>
      <c r="C15" s="22">
        <v>162491.35999999999</v>
      </c>
      <c r="D15" s="22">
        <v>91000</v>
      </c>
      <c r="E15" s="22">
        <v>4162.5</v>
      </c>
      <c r="F15" s="22"/>
      <c r="G15" s="28">
        <v>6000</v>
      </c>
      <c r="H15" s="2">
        <f t="shared" si="0"/>
        <v>249328.86</v>
      </c>
      <c r="I15" s="2">
        <f t="shared" si="1"/>
        <v>5410.4362620000002</v>
      </c>
      <c r="J15" s="102">
        <f t="shared" si="2"/>
        <v>1.6420678006540341</v>
      </c>
      <c r="K15" s="17">
        <f t="shared" si="3"/>
        <v>684.95574168681719</v>
      </c>
      <c r="L15" s="2">
        <f t="shared" si="4"/>
        <v>12095.392003686817</v>
      </c>
      <c r="M15" s="22"/>
      <c r="N15" s="2">
        <f t="shared" si="5"/>
        <v>12095.392003686817</v>
      </c>
    </row>
    <row r="16" spans="1:14" x14ac:dyDescent="0.25">
      <c r="A16" s="21" t="s">
        <v>12</v>
      </c>
      <c r="B16" s="22">
        <v>343749.19</v>
      </c>
      <c r="C16" s="22">
        <v>120961.03</v>
      </c>
      <c r="D16" s="22">
        <v>222788.16</v>
      </c>
      <c r="E16" s="22">
        <v>4080.18</v>
      </c>
      <c r="F16" s="22"/>
      <c r="G16" s="28">
        <v>6000</v>
      </c>
      <c r="H16" s="2">
        <f t="shared" si="0"/>
        <v>339669.01</v>
      </c>
      <c r="I16" s="2">
        <f t="shared" si="1"/>
        <v>7370.8175170000004</v>
      </c>
      <c r="J16" s="102">
        <f t="shared" si="2"/>
        <v>1.1869642514648542</v>
      </c>
      <c r="K16" s="17">
        <f t="shared" si="3"/>
        <v>495.11839821353465</v>
      </c>
      <c r="L16" s="2">
        <f t="shared" si="4"/>
        <v>13865.935915213535</v>
      </c>
      <c r="M16" s="22"/>
      <c r="N16" s="2">
        <f t="shared" si="5"/>
        <v>13865.935915213535</v>
      </c>
    </row>
    <row r="17" spans="1:16" x14ac:dyDescent="0.25">
      <c r="A17" s="21" t="s">
        <v>21</v>
      </c>
      <c r="B17" s="22">
        <v>71740</v>
      </c>
      <c r="C17" s="22">
        <v>59040</v>
      </c>
      <c r="D17" s="22">
        <v>12700</v>
      </c>
      <c r="E17" s="22">
        <v>3600</v>
      </c>
      <c r="F17" s="22"/>
      <c r="G17" s="28">
        <v>6000</v>
      </c>
      <c r="H17" s="2">
        <f t="shared" si="0"/>
        <v>68140</v>
      </c>
      <c r="I17" s="2">
        <f t="shared" si="1"/>
        <v>1478.6380000000001</v>
      </c>
      <c r="J17" s="102">
        <f t="shared" si="2"/>
        <v>5.0181209924728183</v>
      </c>
      <c r="K17" s="17">
        <f t="shared" si="3"/>
        <v>2093.2088095901868</v>
      </c>
      <c r="L17" s="2">
        <f t="shared" si="4"/>
        <v>9571.8468095901862</v>
      </c>
      <c r="M17" s="22"/>
      <c r="N17" s="2">
        <f t="shared" si="5"/>
        <v>9571.8468095901862</v>
      </c>
    </row>
    <row r="18" spans="1:16" x14ac:dyDescent="0.25">
      <c r="A18" s="21" t="s">
        <v>9</v>
      </c>
      <c r="B18" s="22">
        <v>267864</v>
      </c>
      <c r="C18" s="32">
        <f>B18-D18</f>
        <v>75360</v>
      </c>
      <c r="D18" s="32">
        <v>192504</v>
      </c>
      <c r="E18" s="22">
        <v>1800</v>
      </c>
      <c r="F18" s="22"/>
      <c r="G18" s="28">
        <v>6000</v>
      </c>
      <c r="H18" s="2">
        <f t="shared" si="0"/>
        <v>266064</v>
      </c>
      <c r="I18" s="2">
        <f t="shared" si="1"/>
        <v>5773.5888000000004</v>
      </c>
      <c r="J18" s="102">
        <f t="shared" si="2"/>
        <v>0.67198279724039067</v>
      </c>
      <c r="K18" s="17">
        <f t="shared" si="3"/>
        <v>280.30418421288414</v>
      </c>
      <c r="L18" s="2">
        <f t="shared" si="4"/>
        <v>12053.892984212885</v>
      </c>
      <c r="M18" s="22"/>
      <c r="N18" s="2">
        <f t="shared" si="5"/>
        <v>12053.892984212885</v>
      </c>
    </row>
    <row r="19" spans="1:16" x14ac:dyDescent="0.25">
      <c r="A19" s="21" t="s">
        <v>20</v>
      </c>
      <c r="B19" s="22">
        <v>220415.3</v>
      </c>
      <c r="C19" s="22">
        <v>186815.3</v>
      </c>
      <c r="D19" s="22">
        <v>33600</v>
      </c>
      <c r="E19" s="22">
        <v>1800</v>
      </c>
      <c r="F19" s="22"/>
      <c r="G19" s="28">
        <v>6000</v>
      </c>
      <c r="H19" s="2">
        <f t="shared" si="0"/>
        <v>218615.3</v>
      </c>
      <c r="I19" s="2">
        <f t="shared" si="1"/>
        <v>4743.95201</v>
      </c>
      <c r="J19" s="102">
        <f t="shared" si="2"/>
        <v>0.81664022415866777</v>
      </c>
      <c r="K19" s="17">
        <f t="shared" si="3"/>
        <v>340.64513670330507</v>
      </c>
      <c r="L19" s="2">
        <f t="shared" si="4"/>
        <v>11084.597146703305</v>
      </c>
      <c r="M19" s="22"/>
      <c r="N19" s="2">
        <f t="shared" si="5"/>
        <v>11084.597146703305</v>
      </c>
    </row>
    <row r="20" spans="1:16" x14ac:dyDescent="0.25">
      <c r="A20" s="21" t="s">
        <v>2</v>
      </c>
      <c r="B20" s="22">
        <v>407643.72</v>
      </c>
      <c r="C20" s="22">
        <v>257643.72</v>
      </c>
      <c r="D20" s="22">
        <v>150000</v>
      </c>
      <c r="E20" s="22">
        <v>450</v>
      </c>
      <c r="F20" s="22"/>
      <c r="G20" s="28">
        <v>6000</v>
      </c>
      <c r="H20" s="2">
        <f t="shared" si="0"/>
        <v>407193.72</v>
      </c>
      <c r="I20" s="2">
        <f t="shared" si="1"/>
        <v>8836.1037240000005</v>
      </c>
      <c r="J20" s="102">
        <f t="shared" si="2"/>
        <v>0.11039051454049138</v>
      </c>
      <c r="K20" s="17">
        <f t="shared" si="3"/>
        <v>46.047195330275173</v>
      </c>
      <c r="L20" s="2">
        <f t="shared" si="4"/>
        <v>14882.150919330275</v>
      </c>
      <c r="M20" s="22"/>
      <c r="N20" s="2">
        <f t="shared" si="5"/>
        <v>14882.150919330275</v>
      </c>
    </row>
    <row r="21" spans="1:16" ht="15.75" thickBot="1" x14ac:dyDescent="0.3">
      <c r="A21" s="63" t="s">
        <v>26</v>
      </c>
      <c r="B21" s="64">
        <f>C21+D21</f>
        <v>215732.25</v>
      </c>
      <c r="C21" s="64">
        <v>71800.55</v>
      </c>
      <c r="D21" s="64">
        <v>143931.70000000001</v>
      </c>
      <c r="E21" s="64"/>
      <c r="F21" s="65">
        <v>117000</v>
      </c>
      <c r="G21" s="28">
        <v>6000</v>
      </c>
      <c r="H21" s="2">
        <f t="shared" si="0"/>
        <v>98732.25</v>
      </c>
      <c r="I21" s="2">
        <f t="shared" si="1"/>
        <v>2142.4898250000001</v>
      </c>
      <c r="J21" s="102">
        <f t="shared" si="2"/>
        <v>54.233894097892176</v>
      </c>
      <c r="K21" s="17">
        <f t="shared" si="3"/>
        <v>22622.584245053764</v>
      </c>
      <c r="L21" s="2">
        <f t="shared" si="4"/>
        <v>30765.074070053764</v>
      </c>
      <c r="M21" s="65">
        <v>117000</v>
      </c>
      <c r="N21" s="2">
        <f t="shared" si="5"/>
        <v>147765.07407005376</v>
      </c>
    </row>
    <row r="22" spans="1:16" ht="16.5" thickBot="1" x14ac:dyDescent="0.3">
      <c r="A22" s="41" t="s">
        <v>27</v>
      </c>
      <c r="B22" s="42">
        <f t="shared" ref="B22:F22" si="6">SUM(B2:B21)</f>
        <v>6411399.2700000005</v>
      </c>
      <c r="C22" s="42">
        <f t="shared" si="6"/>
        <v>3082711.7199999993</v>
      </c>
      <c r="D22" s="42">
        <f t="shared" si="6"/>
        <v>3328687.5500000007</v>
      </c>
      <c r="E22" s="42">
        <f t="shared" si="6"/>
        <v>626871.18000000005</v>
      </c>
      <c r="F22" s="42">
        <f t="shared" si="6"/>
        <v>258842.15</v>
      </c>
      <c r="G22" s="98">
        <f>SUM(G2:G21)</f>
        <v>120000</v>
      </c>
      <c r="H22" s="3"/>
      <c r="I22" s="104">
        <f>SUM(I2:I21)</f>
        <v>119907.38489800002</v>
      </c>
      <c r="J22" s="103">
        <f>SUM(J2:J21)</f>
        <v>287.6842552956922</v>
      </c>
      <c r="K22" s="105">
        <f>SUM(K2:K21)</f>
        <v>120001.7334114921</v>
      </c>
      <c r="L22" s="2">
        <f>SUM(L2:L21)</f>
        <v>359909.11830949207</v>
      </c>
      <c r="M22" s="42">
        <f t="shared" ref="M22" si="7">SUM(M2:M21)</f>
        <v>258842.15</v>
      </c>
      <c r="N22" s="2">
        <f>SUM(N2:N21)</f>
        <v>618751.26830949215</v>
      </c>
    </row>
    <row r="24" spans="1:16" ht="15.75" thickBot="1" x14ac:dyDescent="0.3">
      <c r="J24" s="106">
        <f>120000/J22</f>
        <v>417.12397460423995</v>
      </c>
    </row>
    <row r="25" spans="1:16" ht="30" x14ac:dyDescent="0.25">
      <c r="M25" s="4" t="s">
        <v>28</v>
      </c>
      <c r="N25" s="5" t="s">
        <v>29</v>
      </c>
      <c r="O25" s="5" t="s">
        <v>30</v>
      </c>
      <c r="P25" s="5" t="s">
        <v>31</v>
      </c>
    </row>
    <row r="26" spans="1:16" ht="19.5" thickBot="1" x14ac:dyDescent="0.35">
      <c r="C26" t="s">
        <v>51</v>
      </c>
      <c r="D26" s="2">
        <f>E22+F22</f>
        <v>885713.33000000007</v>
      </c>
      <c r="E26" s="1">
        <f>B22-(E22+F22)</f>
        <v>5525685.9400000004</v>
      </c>
      <c r="I26">
        <f>12000/J22</f>
        <v>41.712397460424</v>
      </c>
      <c r="M26" s="7">
        <v>975072.5</v>
      </c>
      <c r="N26" s="8">
        <f>P2+P9+P14</f>
        <v>0</v>
      </c>
      <c r="O26" s="8">
        <v>618751.27</v>
      </c>
      <c r="P26" s="8">
        <f>M26-(N26+O26)</f>
        <v>356321.23</v>
      </c>
    </row>
    <row r="27" spans="1:16" x14ac:dyDescent="0.25">
      <c r="E27" s="99">
        <f>120000/E26</f>
        <v>2.1716760833497533E-2</v>
      </c>
      <c r="H27">
        <f>120000/287.68</f>
        <v>417.13014460511681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I14" sqref="I14"/>
    </sheetView>
  </sheetViews>
  <sheetFormatPr defaultRowHeight="15" x14ac:dyDescent="0.25"/>
  <cols>
    <col min="1" max="1" width="27.5703125" bestFit="1" customWidth="1"/>
    <col min="2" max="3" width="14.28515625" bestFit="1" customWidth="1"/>
    <col min="4" max="4" width="15.5703125" bestFit="1" customWidth="1"/>
  </cols>
  <sheetData>
    <row r="1" spans="1:4" ht="15.75" x14ac:dyDescent="0.25">
      <c r="A1" s="109" t="s">
        <v>0</v>
      </c>
      <c r="B1" s="110" t="s">
        <v>60</v>
      </c>
      <c r="C1" s="111" t="s">
        <v>61</v>
      </c>
      <c r="D1" s="115" t="s">
        <v>64</v>
      </c>
    </row>
    <row r="2" spans="1:4" x14ac:dyDescent="0.25">
      <c r="A2" s="86" t="s">
        <v>17</v>
      </c>
      <c r="B2" s="74">
        <v>18000</v>
      </c>
      <c r="C2" s="108">
        <v>27026.580400026578</v>
      </c>
      <c r="D2" s="116" t="s">
        <v>62</v>
      </c>
    </row>
    <row r="3" spans="1:4" x14ac:dyDescent="0.25">
      <c r="A3" s="86" t="s">
        <v>25</v>
      </c>
      <c r="B3" s="74">
        <v>18000</v>
      </c>
      <c r="C3" s="108">
        <v>21586.56589605871</v>
      </c>
      <c r="D3" s="116" t="s">
        <v>62</v>
      </c>
    </row>
    <row r="4" spans="1:4" x14ac:dyDescent="0.25">
      <c r="A4" s="86" t="s">
        <v>11</v>
      </c>
      <c r="B4" s="74">
        <v>18000</v>
      </c>
      <c r="C4" s="108">
        <v>21669.391837221097</v>
      </c>
      <c r="D4" s="116" t="s">
        <v>62</v>
      </c>
    </row>
    <row r="5" spans="1:4" x14ac:dyDescent="0.25">
      <c r="A5" s="86" t="s">
        <v>10</v>
      </c>
      <c r="B5" s="74">
        <v>18000</v>
      </c>
      <c r="C5" s="108">
        <v>22391.15572874737</v>
      </c>
      <c r="D5" s="116" t="s">
        <v>62</v>
      </c>
    </row>
    <row r="6" spans="1:4" x14ac:dyDescent="0.25">
      <c r="A6" s="86" t="s">
        <v>19</v>
      </c>
      <c r="B6" s="74">
        <v>18000</v>
      </c>
      <c r="C6" s="108">
        <v>24151.375731419568</v>
      </c>
      <c r="D6" s="116" t="s">
        <v>62</v>
      </c>
    </row>
    <row r="7" spans="1:4" x14ac:dyDescent="0.25">
      <c r="A7" s="86" t="s">
        <v>7</v>
      </c>
      <c r="B7" s="74">
        <v>153000</v>
      </c>
      <c r="C7" s="108">
        <v>174757.77900201466</v>
      </c>
      <c r="D7" s="116" t="s">
        <v>62</v>
      </c>
    </row>
    <row r="8" spans="1:4" x14ac:dyDescent="0.25">
      <c r="A8" s="86" t="s">
        <v>15</v>
      </c>
      <c r="B8" s="74">
        <v>21422.15</v>
      </c>
      <c r="C8" s="108">
        <v>20634.071018429418</v>
      </c>
      <c r="D8" s="117" t="s">
        <v>63</v>
      </c>
    </row>
    <row r="9" spans="1:4" x14ac:dyDescent="0.25">
      <c r="A9" s="86" t="s">
        <v>23</v>
      </c>
      <c r="B9" s="74">
        <v>18000</v>
      </c>
      <c r="C9" s="108">
        <v>15938.821230861931</v>
      </c>
      <c r="D9" s="117" t="s">
        <v>63</v>
      </c>
    </row>
    <row r="10" spans="1:4" x14ac:dyDescent="0.25">
      <c r="A10" s="86" t="s">
        <v>16</v>
      </c>
      <c r="B10" s="74">
        <v>19080</v>
      </c>
      <c r="C10" s="108">
        <v>14075.070302266548</v>
      </c>
      <c r="D10" s="117" t="s">
        <v>63</v>
      </c>
    </row>
    <row r="11" spans="1:4" x14ac:dyDescent="0.25">
      <c r="A11" s="86" t="s">
        <v>18</v>
      </c>
      <c r="B11" s="74">
        <v>18000</v>
      </c>
      <c r="C11" s="108">
        <v>12575.32473411387</v>
      </c>
      <c r="D11" s="117" t="s">
        <v>63</v>
      </c>
    </row>
    <row r="12" spans="1:4" x14ac:dyDescent="0.25">
      <c r="A12" s="86" t="s">
        <v>22</v>
      </c>
      <c r="B12" s="74">
        <v>18000</v>
      </c>
      <c r="C12" s="108">
        <v>14533.867084891001</v>
      </c>
      <c r="D12" s="117" t="s">
        <v>63</v>
      </c>
    </row>
    <row r="13" spans="1:4" x14ac:dyDescent="0.25">
      <c r="A13" s="86" t="s">
        <v>13</v>
      </c>
      <c r="B13" s="74">
        <v>20340</v>
      </c>
      <c r="C13" s="108">
        <v>15098.485519100432</v>
      </c>
      <c r="D13" s="117" t="s">
        <v>63</v>
      </c>
    </row>
    <row r="14" spans="1:4" x14ac:dyDescent="0.25">
      <c r="A14" s="86" t="s">
        <v>24</v>
      </c>
      <c r="B14" s="74">
        <v>18000</v>
      </c>
      <c r="C14" s="108">
        <v>12993.889975550122</v>
      </c>
      <c r="D14" s="117" t="s">
        <v>63</v>
      </c>
    </row>
    <row r="15" spans="1:4" x14ac:dyDescent="0.25">
      <c r="A15" s="86" t="s">
        <v>6</v>
      </c>
      <c r="B15" s="74">
        <v>18000</v>
      </c>
      <c r="C15" s="108">
        <v>12095.392003686817</v>
      </c>
      <c r="D15" s="117" t="s">
        <v>63</v>
      </c>
    </row>
    <row r="16" spans="1:4" x14ac:dyDescent="0.25">
      <c r="A16" s="86" t="s">
        <v>12</v>
      </c>
      <c r="B16" s="74">
        <v>18000</v>
      </c>
      <c r="C16" s="108">
        <v>13865.935915213535</v>
      </c>
      <c r="D16" s="117" t="s">
        <v>63</v>
      </c>
    </row>
    <row r="17" spans="1:4" x14ac:dyDescent="0.25">
      <c r="A17" s="86" t="s">
        <v>21</v>
      </c>
      <c r="B17" s="74">
        <v>18000</v>
      </c>
      <c r="C17" s="108">
        <v>9571.8468095901862</v>
      </c>
      <c r="D17" s="117" t="s">
        <v>63</v>
      </c>
    </row>
    <row r="18" spans="1:4" x14ac:dyDescent="0.25">
      <c r="A18" s="86" t="s">
        <v>9</v>
      </c>
      <c r="B18" s="74">
        <v>18000</v>
      </c>
      <c r="C18" s="108">
        <v>12053.892984212885</v>
      </c>
      <c r="D18" s="117" t="s">
        <v>63</v>
      </c>
    </row>
    <row r="19" spans="1:4" x14ac:dyDescent="0.25">
      <c r="A19" s="86" t="s">
        <v>20</v>
      </c>
      <c r="B19" s="74">
        <v>18000</v>
      </c>
      <c r="C19" s="108">
        <v>11084.597146703305</v>
      </c>
      <c r="D19" s="117" t="s">
        <v>63</v>
      </c>
    </row>
    <row r="20" spans="1:4" x14ac:dyDescent="0.25">
      <c r="A20" s="86" t="s">
        <v>2</v>
      </c>
      <c r="B20" s="74">
        <v>18000</v>
      </c>
      <c r="C20" s="108">
        <v>14882.150919330275</v>
      </c>
      <c r="D20" s="117" t="s">
        <v>63</v>
      </c>
    </row>
    <row r="21" spans="1:4" x14ac:dyDescent="0.25">
      <c r="A21" s="86" t="s">
        <v>26</v>
      </c>
      <c r="B21" s="74">
        <v>135000</v>
      </c>
      <c r="C21" s="108">
        <v>147765.07407005376</v>
      </c>
      <c r="D21" s="116" t="s">
        <v>62</v>
      </c>
    </row>
    <row r="22" spans="1:4" ht="16.5" thickBot="1" x14ac:dyDescent="0.3">
      <c r="A22" s="112" t="s">
        <v>27</v>
      </c>
      <c r="B22" s="113">
        <v>618842.15</v>
      </c>
      <c r="C22" s="114">
        <v>618751.26830949215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Dados Entidades</vt:lpstr>
      <vt:lpstr>Situação atual</vt:lpstr>
      <vt:lpstr>Situação das Instituições</vt:lpstr>
      <vt:lpstr>Distribuição Linear</vt:lpstr>
      <vt:lpstr>Distribuição 3 Fases</vt:lpstr>
      <vt:lpstr>Resumo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Machado</dc:creator>
  <cp:lastModifiedBy>Alexandre Machado</cp:lastModifiedBy>
  <dcterms:created xsi:type="dcterms:W3CDTF">2018-04-29T20:01:56Z</dcterms:created>
  <dcterms:modified xsi:type="dcterms:W3CDTF">2018-05-09T16:22:58Z</dcterms:modified>
</cp:coreProperties>
</file>